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64" activeTab="0"/>
  </bookViews>
  <sheets>
    <sheet name="Sheet1" sheetId="1" r:id="rId1"/>
  </sheets>
  <definedNames>
    <definedName name="fans">'Sheet1'!$E$135</definedName>
    <definedName name="lamp">'Sheet1'!$I$135</definedName>
    <definedName name="dehumid">'Sheet1'!$B$135</definedName>
    <definedName name="furn_high">'Sheet1'!$C$135</definedName>
    <definedName name="furn_low">'Sheet1'!$D$135</definedName>
    <definedName name="freezer">'Sheet1'!$G$135</definedName>
    <definedName name="fridge">'Sheet1'!$F$135</definedName>
    <definedName name="phantom">'Sheet1'!$H$135</definedName>
    <definedName name="base_summer">'Sheet1'!$C$138</definedName>
    <definedName name="base_winter">'Sheet1'!$C$139</definedName>
    <definedName name="base_summer_tou">'Sheet1'!$D$138</definedName>
    <definedName name="conv_kWhPm_W">'Sheet1'!$B$24</definedName>
    <definedName name="base_spring_fall">'Sheet1'!$C$140</definedName>
    <definedName name="base_winter_tou">'Sheet1'!$D$139</definedName>
    <definedName name="base_spring_fall_tou">'Sheet1'!$D$140</definedName>
    <definedName name="inflation">'Sheet1'!$G$12</definedName>
    <definedName name="conv_W_kWhPy">'Sheet1'!$B$23</definedName>
    <definedName name="inflation_buyback">'Sheet1'!$G$13</definedName>
    <definedName name="inflation_flat">'Sheet1'!$G$12</definedName>
  </definedNames>
  <calcPr fullCalcOnLoad="1"/>
</workbook>
</file>

<file path=xl/comments1.xml><?xml version="1.0" encoding="utf-8"?>
<comments xmlns="http://schemas.openxmlformats.org/spreadsheetml/2006/main">
  <authors>
    <author/>
  </authors>
  <commentList>
    <comment ref="E12" authorId="0">
      <text>
        <r>
          <rPr>
            <sz val="10"/>
            <rFont val="Arial"/>
            <family val="2"/>
          </rPr>
          <t>2.677</t>
        </r>
      </text>
    </comment>
    <comment ref="B16" authorId="0">
      <text>
        <r>
          <rPr>
            <sz val="10"/>
            <rFont val="Arial"/>
            <family val="2"/>
          </rPr>
          <t>Weekday rate + weekend/holiday rate</t>
        </r>
      </text>
    </comment>
    <comment ref="C16" authorId="0">
      <text>
        <r>
          <rPr>
            <sz val="10"/>
            <rFont val="Arial"/>
            <family val="2"/>
          </rPr>
          <t>Weekday rate + weekend/holiday rate</t>
        </r>
      </text>
    </comment>
    <comment ref="B17" authorId="0">
      <text>
        <r>
          <rPr>
            <sz val="10"/>
            <rFont val="Arial"/>
            <family val="2"/>
          </rPr>
          <t>Weekday rate + weekend/holiday rate</t>
        </r>
      </text>
    </comment>
    <comment ref="C17" authorId="0">
      <text>
        <r>
          <rPr>
            <sz val="10"/>
            <rFont val="Arial"/>
            <family val="2"/>
          </rPr>
          <t>Weekday rate + weekend/holiday rate</t>
        </r>
      </text>
    </comment>
    <comment ref="B21" authorId="0">
      <text>
        <r>
          <rPr>
            <sz val="10"/>
            <rFont val="Arial"/>
            <family val="2"/>
          </rPr>
          <t>Percentage of days per year that are on-peak (holidays are subtracted)</t>
        </r>
      </text>
    </comment>
    <comment ref="B22" authorId="0">
      <text>
        <r>
          <rPr>
            <sz val="10"/>
            <rFont val="Arial"/>
            <family val="2"/>
          </rPr>
          <t>Percentage of hours per year that are on-peak (holidays are subtracted)</t>
        </r>
      </text>
    </comment>
  </commentList>
</comments>
</file>

<file path=xl/sharedStrings.xml><?xml version="1.0" encoding="utf-8"?>
<sst xmlns="http://schemas.openxmlformats.org/spreadsheetml/2006/main" count="159" uniqueCount="141">
  <si>
    <t>Calculations used to help us decide whether or not to go solar.</t>
  </si>
  <si>
    <r>
      <t xml:space="preserve">This spreadsheet accompanies the article at </t>
    </r>
    <r>
      <rPr>
        <sz val="10"/>
        <color indexed="12"/>
        <rFont val="Arial"/>
        <family val="2"/>
      </rPr>
      <t>http://www.geocities.com/bay_creek.pv.html</t>
    </r>
    <r>
      <rPr>
        <sz val="10"/>
        <rFont val="Arial"/>
        <family val="2"/>
      </rPr>
      <t xml:space="preserve"> . This is far from perfect, but will hopefully help you make estimates.</t>
    </r>
  </si>
  <si>
    <t>Color code:</t>
  </si>
  <si>
    <t xml:space="preserve">Yellow boxes: Fill in your data </t>
  </si>
  <si>
    <t>Orange boxes: Assumptions you may want to change</t>
  </si>
  <si>
    <t>Rates (fall, 2006):</t>
  </si>
  <si>
    <t>Summer</t>
  </si>
  <si>
    <t>Winter</t>
  </si>
  <si>
    <t>Avg</t>
  </si>
  <si>
    <t>Wind</t>
  </si>
  <si>
    <t>Distribution</t>
  </si>
  <si>
    <t>MG&amp;E inflation</t>
  </si>
  <si>
    <t>Flat rate</t>
  </si>
  <si>
    <t>Solar buy-back</t>
  </si>
  <si>
    <t>TOU on-peak rate</t>
  </si>
  <si>
    <t>TOU off-peak rate</t>
  </si>
  <si>
    <t>TOU effective on-peak</t>
  </si>
  <si>
    <t>TOU effective off-peak</t>
  </si>
  <si>
    <t>Holidays/year</t>
  </si>
  <si>
    <t>On-peak day percentage</t>
  </si>
  <si>
    <t>On-peak hour percentage</t>
  </si>
  <si>
    <t>W-&gt;kWh/yr factor</t>
  </si>
  <si>
    <t>kWh/mon-&gt;W</t>
  </si>
  <si>
    <t>Estimate size:</t>
  </si>
  <si>
    <t>W</t>
  </si>
  <si>
    <t>kWh/year</t>
  </si>
  <si>
    <t>Current usage</t>
  </si>
  <si>
    <t>Energy improvements we'll make</t>
  </si>
  <si>
    <t>New fridge</t>
  </si>
  <si>
    <t>Projected usage</t>
  </si>
  <si>
    <t>Solar array size</t>
  </si>
  <si>
    <t>From pvwatts.org</t>
  </si>
  <si>
    <t>From MGE bill</t>
  </si>
  <si>
    <t>Buy</t>
  </si>
  <si>
    <t>Sell</t>
  </si>
  <si>
    <t>Generate kWh</t>
  </si>
  <si>
    <t>Use kWh, before energy improvements</t>
  </si>
  <si>
    <t>Use kWh</t>
  </si>
  <si>
    <t>$ flat w/ wind</t>
  </si>
  <si>
    <t>$ flat w/wind</t>
  </si>
  <si>
    <t>$ solar buy-back</t>
  </si>
  <si>
    <t>$ TOU w/ wind</t>
  </si>
  <si>
    <t>Jan</t>
  </si>
  <si>
    <t>Feb</t>
  </si>
  <si>
    <t>Mar</t>
  </si>
  <si>
    <t>Apr</t>
  </si>
  <si>
    <t>May</t>
  </si>
  <si>
    <t>Jun</t>
  </si>
  <si>
    <t>Jul</t>
  </si>
  <si>
    <t>Aug</t>
  </si>
  <si>
    <t>Sep</t>
  </si>
  <si>
    <t>Oct</t>
  </si>
  <si>
    <t>Nov</t>
  </si>
  <si>
    <t>Dec</t>
  </si>
  <si>
    <t>Total</t>
  </si>
  <si>
    <t>Summer (Jun-Sep)</t>
  </si>
  <si>
    <t>Winter (Jan,Feb,Nov,Dec)</t>
  </si>
  <si>
    <t>Spring/Fall (the rest)</t>
  </si>
  <si>
    <t>Watts</t>
  </si>
  <si>
    <t>$/W</t>
  </si>
  <si>
    <t>Focus (state)</t>
  </si>
  <si>
    <t>Federal</t>
  </si>
  <si>
    <t>Sales Tax</t>
  </si>
  <si>
    <t>Ultimate $/W</t>
  </si>
  <si>
    <t>Focus %</t>
  </si>
  <si>
    <t>0) H&amp;H quote #1 – new</t>
  </si>
  <si>
    <t>1) H&amp;H quote #1 – old</t>
  </si>
  <si>
    <t>2) H&amp;H #2: shingles</t>
  </si>
  <si>
    <t>3) WI Power Control</t>
  </si>
  <si>
    <t>Capacity Factor</t>
  </si>
  <si>
    <t>0) w/ Capacity Factor</t>
  </si>
  <si>
    <t>Payback:</t>
  </si>
  <si>
    <t>The payback looks at the big picture. How much juice will we buy each year? How much will we sell?</t>
  </si>
  <si>
    <t>“Buy flat” is ignored in calculations, because we have to spend that with or without solar. e.g., this whole thing is a comparison: life with and w/o PV.</t>
  </si>
  <si>
    <t>“Sell high”</t>
  </si>
  <si>
    <t>“Buy low”</t>
  </si>
  <si>
    <t>With loan</t>
  </si>
  <si>
    <t>Year</t>
  </si>
  <si>
    <t>Installation, maintenance</t>
  </si>
  <si>
    <t>Buy flat w/wind</t>
  </si>
  <si>
    <t>Sell TOU w/wind</t>
  </si>
  <si>
    <t>Load shift savings</t>
  </si>
  <si>
    <t>“Sell” TOU</t>
  </si>
  <si>
    <t>Cash flow</t>
  </si>
  <si>
    <t>Annual return on investment</t>
  </si>
  <si>
    <t>Repay loan</t>
  </si>
  <si>
    <t>Panels break even if bill passes</t>
  </si>
  <si>
    <t>Panels break even</t>
  </si>
  <si>
    <t>Warranty expires for panels</t>
  </si>
  <si>
    <t>Replace inverter</t>
  </si>
  <si>
    <t>Payback Subtotal: yr 1 thru 16</t>
  </si>
  <si>
    <t>Total yr 1-16</t>
  </si>
  <si>
    <t>Average return on investment, 30 yrs</t>
  </si>
  <si>
    <t>Usage:</t>
  </si>
  <si>
    <t>This assumes that we use the same amount of energy on the weekend as we do during the week. This is probably not too far from the truth, and in fact, the</t>
  </si>
  <si>
    <t>TOU calculations will probably be better since we use slightly more on the w/e, when rates are off-peak.</t>
  </si>
  <si>
    <t>Dehumidifier avg</t>
  </si>
  <si>
    <t>Furnace-high</t>
  </si>
  <si>
    <t>Furnace-low avg</t>
  </si>
  <si>
    <t>2 fans</t>
  </si>
  <si>
    <t>Fridge avg</t>
  </si>
  <si>
    <t>Freezer avg</t>
  </si>
  <si>
    <t>Phantom</t>
  </si>
  <si>
    <t>1 lamp</t>
  </si>
  <si>
    <t>Watts:</t>
  </si>
  <si>
    <t>Average W/h</t>
  </si>
  <si>
    <t>Baseline W/h</t>
  </si>
  <si>
    <t>Baseline W/h TOU</t>
  </si>
  <si>
    <t>Total Wh/d (should agree with Total line below the next table)</t>
  </si>
  <si>
    <t>Spring/Fall</t>
  </si>
  <si>
    <t>These two</t>
  </si>
  <si>
    <t>Total from below</t>
  </si>
  <si>
    <t>Should agree</t>
  </si>
  <si>
    <t>Flat vs. TOU (load shift):</t>
  </si>
  <si>
    <t>Hour</t>
  </si>
  <si>
    <t>Summer-flat</t>
  </si>
  <si>
    <t>Summer-TOU</t>
  </si>
  <si>
    <t>Winter-flat</t>
  </si>
  <si>
    <t>Winter-TOU</t>
  </si>
  <si>
    <t>Spring/Fall-flat</t>
  </si>
  <si>
    <t>Spring/Fall-TOU</t>
  </si>
  <si>
    <t>Test-flat</t>
  </si>
  <si>
    <t>Test-TOU</t>
  </si>
  <si>
    <t>Total Wh</t>
  </si>
  <si>
    <t>On-peak Wh</t>
  </si>
  <si>
    <t>Off-peak Wh</t>
  </si>
  <si>
    <t>Season kWh</t>
  </si>
  <si>
    <t>On-peak percent</t>
  </si>
  <si>
    <t>On-peak $</t>
  </si>
  <si>
    <t>Off-peak $</t>
  </si>
  <si>
    <t>Flat</t>
  </si>
  <si>
    <t>TOU</t>
  </si>
  <si>
    <t>Savings</t>
  </si>
  <si>
    <t>Total $ per year</t>
  </si>
  <si>
    <t>Total:</t>
  </si>
  <si>
    <t>Summer TOU savings</t>
  </si>
  <si>
    <t>Winter TOU savings</t>
  </si>
  <si>
    <t>Spring/Fall TOU savings</t>
  </si>
  <si>
    <t>Test TOU savings</t>
  </si>
  <si>
    <t>Notes:</t>
  </si>
  <si>
    <r>
      <t xml:space="preserve">Something that I learned recently is that MG&amp;E </t>
    </r>
    <r>
      <rPr>
        <i/>
        <sz val="10"/>
        <rFont val="Arial"/>
        <family val="2"/>
      </rPr>
      <t>might</t>
    </r>
    <r>
      <rPr>
        <sz val="10"/>
        <rFont val="Arial"/>
        <family val="2"/>
      </rPr>
      <t xml:space="preserve"> pay a lower rate for any extra energy generated over a year. Couldn't find this in the rate doc, though.</t>
    </r>
  </si>
</sst>
</file>

<file path=xl/styles.xml><?xml version="1.0" encoding="utf-8"?>
<styleSheet xmlns="http://schemas.openxmlformats.org/spreadsheetml/2006/main">
  <numFmts count="4">
    <numFmt numFmtId="164" formatCode="GENERAL"/>
    <numFmt numFmtId="165" formatCode="GENERAL"/>
    <numFmt numFmtId="166" formatCode="0.00%"/>
    <numFmt numFmtId="167" formatCode="0.00%"/>
  </numFmts>
  <fonts count="17">
    <font>
      <sz val="10"/>
      <name val="Arial"/>
      <family val="2"/>
    </font>
    <font>
      <b/>
      <sz val="10"/>
      <name val="Arial"/>
      <family val="2"/>
    </font>
    <font>
      <sz val="10"/>
      <color indexed="12"/>
      <name val="Arial"/>
      <family val="2"/>
    </font>
    <font>
      <i/>
      <sz val="10"/>
      <name val="Arial"/>
      <family val="2"/>
    </font>
    <font>
      <sz val="7.4"/>
      <name val="Arial"/>
      <family val="5"/>
    </font>
    <font>
      <sz val="8.7"/>
      <name val="Arial"/>
      <family val="5"/>
    </font>
    <font>
      <sz val="11.2"/>
      <name val="Arial"/>
      <family val="5"/>
    </font>
    <font>
      <sz val="16.2"/>
      <name val="Arial"/>
      <family val="5"/>
    </font>
    <font>
      <sz val="6"/>
      <name val="Arial"/>
      <family val="5"/>
    </font>
    <font>
      <sz val="7"/>
      <name val="Arial"/>
      <family val="5"/>
    </font>
    <font>
      <sz val="9"/>
      <name val="Arial"/>
      <family val="5"/>
    </font>
    <font>
      <sz val="13"/>
      <name val="Arial"/>
      <family val="5"/>
    </font>
    <font>
      <sz val="7.3"/>
      <name val="Arial"/>
      <family val="5"/>
    </font>
    <font>
      <sz val="8.2"/>
      <name val="Arial"/>
      <family val="5"/>
    </font>
    <font>
      <sz val="10.9"/>
      <name val="Arial"/>
      <family val="5"/>
    </font>
    <font>
      <sz val="15.7"/>
      <name val="Arial"/>
      <family val="5"/>
    </font>
    <font>
      <b/>
      <sz val="8"/>
      <name val="Arial"/>
      <family val="2"/>
    </font>
  </fonts>
  <fills count="4">
    <fill>
      <patternFill/>
    </fill>
    <fill>
      <patternFill patternType="gray125"/>
    </fill>
    <fill>
      <patternFill patternType="solid">
        <fgColor indexed="43"/>
        <bgColor indexed="64"/>
      </patternFill>
    </fill>
    <fill>
      <patternFill patternType="solid">
        <fgColor indexed="47"/>
        <bgColor indexed="64"/>
      </patternFill>
    </fill>
  </fills>
  <borders count="1">
    <border>
      <left/>
      <right/>
      <top/>
      <bottom/>
      <diagonal/>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2">
    <xf numFmtId="164" fontId="0" fillId="0" borderId="0" xfId="0" applyAlignment="1">
      <alignment/>
    </xf>
    <xf numFmtId="164" fontId="1" fillId="0" borderId="0" xfId="0" applyFont="1" applyAlignment="1">
      <alignment/>
    </xf>
    <xf numFmtId="164" fontId="0" fillId="2" borderId="0" xfId="0" applyFont="1" applyFill="1" applyAlignment="1">
      <alignment/>
    </xf>
    <xf numFmtId="164" fontId="0" fillId="3" borderId="0" xfId="0" applyFont="1" applyFill="1" applyAlignment="1">
      <alignment/>
    </xf>
    <xf numFmtId="164" fontId="0" fillId="0" borderId="0" xfId="0" applyAlignment="1">
      <alignment/>
    </xf>
    <xf numFmtId="166" fontId="0" fillId="3" borderId="0" xfId="0" applyNumberFormat="1" applyFill="1" applyAlignment="1">
      <alignment/>
    </xf>
    <xf numFmtId="166" fontId="0" fillId="0" borderId="0" xfId="0" applyAlignment="1">
      <alignment/>
    </xf>
    <xf numFmtId="164" fontId="0" fillId="0" borderId="0" xfId="0" applyFont="1" applyAlignment="1">
      <alignment/>
    </xf>
    <xf numFmtId="164" fontId="1" fillId="2" borderId="0" xfId="0" applyFont="1" applyFill="1" applyAlignment="1">
      <alignment/>
    </xf>
    <xf numFmtId="164" fontId="3" fillId="0" borderId="0" xfId="0" applyFont="1" applyAlignment="1">
      <alignment/>
    </xf>
    <xf numFmtId="166" fontId="0" fillId="0" borderId="0" xfId="0" applyNumberFormat="1" applyAlignment="1">
      <alignment/>
    </xf>
    <xf numFmtId="164" fontId="0" fillId="0" borderId="0" xfId="0"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20" b="0" i="0" u="none" baseline="0">
                <a:latin typeface="Arial"/>
                <a:ea typeface="Arial"/>
                <a:cs typeface="Arial"/>
              </a:rPr>
              <a:t>Power usage - summer</a:t>
            </a:r>
          </a:p>
        </c:rich>
      </c:tx>
      <c:layout/>
      <c:spPr>
        <a:noFill/>
        <a:ln w="3175">
          <a:noFill/>
        </a:ln>
      </c:spPr>
    </c:title>
    <c:plotArea>
      <c:layout/>
      <c:lineChart>
        <c:grouping val="standard"/>
        <c:varyColors val="0"/>
        <c:ser>
          <c:idx val="0"/>
          <c:order val="0"/>
          <c:tx>
            <c:strRef>
              <c:f>Sheet1!$B$144</c:f>
            </c:strRef>
          </c:tx>
          <c:spPr>
            <a:ln w="3175">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9999FF"/>
              </a:solidFill>
              <a:ln>
                <a:solidFill>
                  <a:srgbClr val="000000"/>
                </a:solidFill>
              </a:ln>
            </c:spPr>
          </c:marker>
          <c:dLbls>
            <c:numFmt formatCode="General" sourceLinked="1"/>
            <c:txPr>
              <a:bodyPr vert="horz" rot="0" anchor="ctr"/>
              <a:lstStyle/>
              <a:p>
                <a:pPr algn="ctr">
                  <a:defRPr lang="en-US" cap="none" sz="740" b="0" i="0" u="none" baseline="0">
                    <a:latin typeface="Arial"/>
                    <a:ea typeface="Arial"/>
                    <a:cs typeface="Arial"/>
                  </a:defRPr>
                </a:pPr>
              </a:p>
            </c:txPr>
            <c:dLblPos val="t"/>
            <c:showLegendKey val="0"/>
            <c:showVal val="0"/>
            <c:showBubbleSize val="0"/>
            <c:showCatName val="0"/>
            <c:showSerName val="0"/>
            <c:showLeaderLines val="1"/>
            <c:showPercent val="0"/>
          </c:dLbls>
          <c:cat>
            <c:numRef>
              <c:f>Sheet1!$A$145:$A$168</c:f>
              <c:numCache/>
            </c:numRef>
          </c:cat>
          <c:val>
            <c:numRef>
              <c:f>Sheet1!$B$145:$B$168</c:f>
              <c:numCache/>
            </c:numRef>
          </c:val>
          <c:smooth val="0"/>
        </c:ser>
        <c:ser>
          <c:idx val="1"/>
          <c:order val="1"/>
          <c:tx>
            <c:strRef>
              <c:f>Sheet1!$C$144</c:f>
            </c:strRef>
          </c:tx>
          <c:spPr>
            <a:ln w="3175">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993366"/>
              </a:solidFill>
              <a:ln>
                <a:solidFill>
                  <a:srgbClr val="000000"/>
                </a:solidFill>
              </a:ln>
            </c:spPr>
          </c:marker>
          <c:dLbls>
            <c:numFmt formatCode="General" sourceLinked="1"/>
            <c:txPr>
              <a:bodyPr vert="horz" rot="0" anchor="ctr"/>
              <a:lstStyle/>
              <a:p>
                <a:pPr algn="ctr">
                  <a:defRPr lang="en-US" cap="none" sz="740" b="0" i="0" u="none" baseline="0">
                    <a:latin typeface="Arial"/>
                    <a:ea typeface="Arial"/>
                    <a:cs typeface="Arial"/>
                  </a:defRPr>
                </a:pPr>
              </a:p>
            </c:txPr>
            <c:dLblPos val="t"/>
            <c:showLegendKey val="0"/>
            <c:showVal val="0"/>
            <c:showBubbleSize val="0"/>
            <c:showCatName val="0"/>
            <c:showSerName val="0"/>
            <c:showLeaderLines val="1"/>
            <c:showPercent val="0"/>
          </c:dLbls>
          <c:cat>
            <c:numRef>
              <c:f>Sheet1!$A$145:$A$168</c:f>
              <c:numCache/>
            </c:numRef>
          </c:cat>
          <c:val>
            <c:numRef>
              <c:f>Sheet1!$C$145:$C$168</c:f>
              <c:numCache/>
            </c:numRef>
          </c:val>
          <c:smooth val="0"/>
        </c:ser>
        <c:marker val="1"/>
        <c:axId val="64281647"/>
        <c:axId val="41663912"/>
      </c:lineChart>
      <c:catAx>
        <c:axId val="64281647"/>
        <c:scaling>
          <c:orientation val="minMax"/>
        </c:scaling>
        <c:axPos val="b"/>
        <c:title>
          <c:tx>
            <c:rich>
              <a:bodyPr vert="horz" rot="0" anchor="ctr"/>
              <a:lstStyle/>
              <a:p>
                <a:pPr algn="ctr">
                  <a:defRPr/>
                </a:pPr>
                <a:r>
                  <a:rPr lang="en-US" cap="none" sz="1120" b="0" i="0" u="none" baseline="0">
                    <a:latin typeface="Arial"/>
                    <a:ea typeface="Arial"/>
                    <a:cs typeface="Arial"/>
                  </a:rPr>
                  <a:t>Hour of day</a:t>
                </a:r>
              </a:p>
            </c:rich>
          </c:tx>
          <c:layout/>
          <c:overlay val="0"/>
          <c:spPr>
            <a:noFill/>
            <a:ln w="3175">
              <a:noFill/>
            </a:ln>
          </c:spPr>
        </c:title>
        <c:delete val="0"/>
        <c:numFmt formatCode="General" sourceLinked="1"/>
        <c:majorTickMark val="out"/>
        <c:minorTickMark val="none"/>
        <c:tickLblPos val="low"/>
        <c:spPr>
          <a:ln w="3175">
            <a:solidFill>
              <a:srgbClr val="000000"/>
            </a:solidFill>
          </a:ln>
        </c:spPr>
        <c:txPr>
          <a:bodyPr vert="horz" rot="0"/>
          <a:lstStyle/>
          <a:p>
            <a:pPr>
              <a:defRPr lang="en-US" cap="none" sz="870" b="0" i="0" u="none" baseline="0">
                <a:latin typeface="Arial"/>
                <a:ea typeface="Arial"/>
                <a:cs typeface="Arial"/>
              </a:defRPr>
            </a:pPr>
          </a:p>
        </c:txPr>
        <c:crossAx val="41663912"/>
        <c:crossesAt val="0"/>
        <c:auto val="1"/>
        <c:lblOffset val="100"/>
        <c:noMultiLvlLbl val="0"/>
      </c:catAx>
      <c:valAx>
        <c:axId val="41663912"/>
        <c:scaling>
          <c:orientation val="minMax"/>
        </c:scaling>
        <c:axPos val="l"/>
        <c:title>
          <c:tx>
            <c:rich>
              <a:bodyPr vert="horz" rot="-5400000" anchor="ctr"/>
              <a:lstStyle/>
              <a:p>
                <a:pPr algn="ctr">
                  <a:defRPr/>
                </a:pPr>
                <a:r>
                  <a:rPr lang="en-US" cap="none" sz="1120" b="0" i="0" u="none" baseline="0">
                    <a:latin typeface="Arial"/>
                    <a:ea typeface="Arial"/>
                    <a:cs typeface="Arial"/>
                  </a:rPr>
                  <a:t>Watts used</a:t>
                </a:r>
              </a:p>
            </c:rich>
          </c:tx>
          <c:layout/>
          <c:overlay val="0"/>
          <c:spPr>
            <a:noFill/>
            <a:ln w="3175">
              <a:noFill/>
            </a:ln>
          </c:spPr>
        </c:title>
        <c:majorGridlines>
          <c:spPr>
            <a:ln w="3175">
              <a:solidFill>
                <a:srgbClr val="000000"/>
              </a:solidFill>
            </a:ln>
          </c:spPr>
        </c:majorGridlines>
        <c:delete val="0"/>
        <c:numFmt formatCode="GENERAL" sourceLinked="0"/>
        <c:majorTickMark val="out"/>
        <c:minorTickMark val="none"/>
        <c:tickLblPos val="low"/>
        <c:spPr>
          <a:ln w="3175">
            <a:solidFill>
              <a:srgbClr val="000000"/>
            </a:solidFill>
          </a:ln>
        </c:spPr>
        <c:txPr>
          <a:bodyPr vert="horz" rot="0"/>
          <a:lstStyle/>
          <a:p>
            <a:pPr>
              <a:defRPr lang="en-US" cap="none" sz="870" b="0" i="0" u="none" baseline="0">
                <a:latin typeface="Arial"/>
                <a:ea typeface="Arial"/>
                <a:cs typeface="Arial"/>
              </a:defRPr>
            </a:pPr>
          </a:p>
        </c:txPr>
        <c:crossAx val="64281647"/>
        <c:crossesAt val="1"/>
        <c:crossBetween val="midCat"/>
        <c:dispUnits/>
      </c:valAx>
      <c:spPr>
        <a:solidFill>
          <a:srgbClr val="D9D9D9"/>
        </a:solidFill>
        <a:ln w="3175">
          <a:noFill/>
        </a:ln>
      </c:spPr>
    </c:plotArea>
    <c:legend>
      <c:legendPos val="r"/>
      <c:layout/>
      <c:overlay val="0"/>
      <c:spPr>
        <a:solidFill>
          <a:srgbClr val="D9D9D9"/>
        </a:solidFill>
        <a:ln w="3175">
          <a:solidFill>
            <a:srgbClr val="000000"/>
          </a:solidFill>
        </a:ln>
      </c:spPr>
      <c:txPr>
        <a:bodyPr vert="horz" rot="0"/>
        <a:lstStyle/>
        <a:p>
          <a:pPr>
            <a:defRPr lang="en-US" cap="none" sz="740" b="0" i="0" u="none" baseline="0">
              <a:latin typeface="Arial"/>
              <a:ea typeface="Arial"/>
              <a:cs typeface="Arial"/>
            </a:defRPr>
          </a:pPr>
        </a:p>
      </c:txPr>
    </c:legend>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latin typeface="Arial"/>
                <a:ea typeface="Arial"/>
                <a:cs typeface="Arial"/>
              </a:rPr>
              <a:t>Cash Flow - TOU</a:t>
            </a:r>
          </a:p>
        </c:rich>
      </c:tx>
      <c:layout/>
      <c:spPr>
        <a:noFill/>
        <a:ln w="3175">
          <a:noFill/>
        </a:ln>
      </c:spPr>
    </c:title>
    <c:plotArea>
      <c:layout/>
      <c:areaChart>
        <c:grouping val="standard"/>
        <c:varyColors val="0"/>
        <c:ser>
          <c:idx val="0"/>
          <c:order val="0"/>
          <c:tx>
            <c:strRef>
              <c:f>Sheet1!$H$67</c:f>
            </c:strRef>
          </c:tx>
          <c:spPr>
            <a:solidFill>
              <a:srgbClr val="9999FF"/>
            </a:solidFill>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600" b="0" i="0" u="none" baseline="0">
                    <a:latin typeface="Arial"/>
                    <a:ea typeface="Arial"/>
                    <a:cs typeface="Arial"/>
                  </a:defRPr>
                </a:pPr>
              </a:p>
            </c:txPr>
            <c:showLegendKey val="0"/>
            <c:showVal val="0"/>
            <c:showBubbleSize val="0"/>
            <c:showCatName val="0"/>
            <c:showSerName val="0"/>
            <c:showPercent val="0"/>
          </c:dLbls>
          <c:cat>
            <c:numRef>
              <c:f>Sheet1!$A$68:$A$108</c:f>
              <c:numCache/>
            </c:numRef>
          </c:cat>
          <c:val>
            <c:numRef>
              <c:f>Sheet1!$H$68:$H$108</c:f>
              <c:numCache/>
            </c:numRef>
          </c:val>
        </c:ser>
        <c:axId val="39430889"/>
        <c:axId val="19333682"/>
      </c:areaChart>
      <c:catAx>
        <c:axId val="39430889"/>
        <c:scaling>
          <c:orientation val="minMax"/>
        </c:scaling>
        <c:axPos val="b"/>
        <c:title>
          <c:tx>
            <c:rich>
              <a:bodyPr vert="horz" rot="0" anchor="ctr"/>
              <a:lstStyle/>
              <a:p>
                <a:pPr algn="ctr">
                  <a:defRPr/>
                </a:pPr>
                <a:r>
                  <a:rPr lang="en-US" cap="none" sz="900" b="0" i="0" u="none" baseline="0">
                    <a:latin typeface="Arial"/>
                    <a:ea typeface="Arial"/>
                    <a:cs typeface="Arial"/>
                  </a:rPr>
                  <a:t>Year</a:t>
                </a:r>
              </a:p>
            </c:rich>
          </c:tx>
          <c:layout/>
          <c:overlay val="0"/>
          <c:spPr>
            <a:noFill/>
            <a:ln w="3175">
              <a:noFill/>
            </a:ln>
          </c:spPr>
        </c:title>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latin typeface="Arial"/>
                <a:ea typeface="Arial"/>
                <a:cs typeface="Arial"/>
              </a:defRPr>
            </a:pPr>
          </a:p>
        </c:txPr>
        <c:crossAx val="19333682"/>
        <c:crossesAt val="0"/>
        <c:auto val="1"/>
        <c:lblOffset val="100"/>
        <c:noMultiLvlLbl val="0"/>
      </c:catAx>
      <c:valAx>
        <c:axId val="19333682"/>
        <c:scaling>
          <c:orientation val="minMax"/>
        </c:scaling>
        <c:axPos val="l"/>
        <c:title>
          <c:tx>
            <c:rich>
              <a:bodyPr vert="horz" rot="-5400000" anchor="ctr"/>
              <a:lstStyle/>
              <a:p>
                <a:pPr algn="ctr">
                  <a:defRPr/>
                </a:pPr>
                <a:r>
                  <a:rPr lang="en-US" cap="none" sz="900" b="0" i="0" u="none" baseline="0">
                    <a:latin typeface="Arial"/>
                    <a:ea typeface="Arial"/>
                    <a:cs typeface="Arial"/>
                  </a:rPr>
                  <a:t>Dollars</a:t>
                </a:r>
              </a:p>
            </c:rich>
          </c:tx>
          <c:layout/>
          <c:overlay val="0"/>
          <c:spPr>
            <a:noFill/>
            <a:ln w="3175">
              <a:noFill/>
            </a:ln>
          </c:spPr>
        </c:title>
        <c:majorGridlines>
          <c:spPr>
            <a:ln w="3175">
              <a:solidFill>
                <a:srgbClr val="000000"/>
              </a:solidFill>
            </a:ln>
          </c:spPr>
        </c:majorGridlines>
        <c:delete val="0"/>
        <c:numFmt formatCode="GENERAL" sourceLinked="0"/>
        <c:majorTickMark val="out"/>
        <c:minorTickMark val="none"/>
        <c:tickLblPos val="low"/>
        <c:spPr>
          <a:ln w="3175">
            <a:solidFill>
              <a:srgbClr val="000000"/>
            </a:solidFill>
          </a:ln>
        </c:spPr>
        <c:txPr>
          <a:bodyPr vert="horz" rot="0"/>
          <a:lstStyle/>
          <a:p>
            <a:pPr>
              <a:defRPr lang="en-US" cap="none" sz="700" b="0" i="0" u="none" baseline="0">
                <a:latin typeface="Arial"/>
                <a:ea typeface="Arial"/>
                <a:cs typeface="Arial"/>
              </a:defRPr>
            </a:pPr>
          </a:p>
        </c:txPr>
        <c:crossAx val="39430889"/>
        <c:crossesAt val="1"/>
        <c:crossBetween val="midCat"/>
        <c:dispUnits/>
      </c:valAx>
      <c:spPr>
        <a:noFill/>
        <a:ln w="3175">
          <a:noFill/>
        </a:ln>
      </c:spPr>
    </c:plotArea>
    <c:plotVisOnly val="0"/>
    <c:dispBlanksAs val="gap"/>
    <c:showDLblsOverMax val="0"/>
  </c:char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0" b="0" i="0" u="none" baseline="0">
                <a:latin typeface="Arial"/>
                <a:ea typeface="Arial"/>
                <a:cs typeface="Arial"/>
              </a:rPr>
              <a:t>Month by month kWh usage and generation</a:t>
            </a:r>
          </a:p>
        </c:rich>
      </c:tx>
      <c:layout/>
      <c:spPr>
        <a:noFill/>
        <a:ln w="3175">
          <a:noFill/>
        </a:ln>
      </c:spPr>
    </c:title>
    <c:plotArea>
      <c:layout/>
      <c:lineChart>
        <c:grouping val="standard"/>
        <c:varyColors val="0"/>
        <c:ser>
          <c:idx val="0"/>
          <c:order val="0"/>
          <c:tx>
            <c:strRef>
              <c:f>Sheet1!$B$34</c:f>
            </c:strRef>
          </c:tx>
          <c:spPr>
            <a:ln w="3175">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9999FF"/>
              </a:solidFill>
              <a:ln>
                <a:solidFill>
                  <a:srgbClr val="000000"/>
                </a:solidFill>
              </a:ln>
            </c:spPr>
          </c:marker>
          <c:dLbls>
            <c:numFmt formatCode="General" sourceLinked="1"/>
            <c:txPr>
              <a:bodyPr vert="horz" rot="0" anchor="ctr"/>
              <a:lstStyle/>
              <a:p>
                <a:pPr algn="ctr">
                  <a:defRPr lang="en-US" cap="none" sz="730" b="0" i="0" u="none" baseline="0">
                    <a:latin typeface="Arial"/>
                    <a:ea typeface="Arial"/>
                    <a:cs typeface="Arial"/>
                  </a:defRPr>
                </a:pPr>
              </a:p>
            </c:txPr>
            <c:dLblPos val="t"/>
            <c:showLegendKey val="0"/>
            <c:showVal val="0"/>
            <c:showBubbleSize val="0"/>
            <c:showCatName val="0"/>
            <c:showSerName val="0"/>
            <c:showLeaderLines val="1"/>
            <c:showPercent val="0"/>
          </c:dLbls>
          <c:cat>
            <c:strRef>
              <c:f>Sheet1!$A$35:$A$46</c:f>
              <c:strCache/>
            </c:strRef>
          </c:cat>
          <c:val>
            <c:numRef>
              <c:f>Sheet1!$B$35:$B$46</c:f>
              <c:numCache/>
            </c:numRef>
          </c:val>
          <c:smooth val="0"/>
        </c:ser>
        <c:ser>
          <c:idx val="1"/>
          <c:order val="1"/>
          <c:tx>
            <c:strRef>
              <c:f>Sheet1!$D$34</c:f>
            </c:strRef>
          </c:tx>
          <c:spPr>
            <a:ln w="3175">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993366"/>
              </a:solidFill>
              <a:ln>
                <a:solidFill>
                  <a:srgbClr val="000000"/>
                </a:solidFill>
              </a:ln>
            </c:spPr>
          </c:marker>
          <c:dLbls>
            <c:numFmt formatCode="General" sourceLinked="1"/>
            <c:txPr>
              <a:bodyPr vert="horz" rot="0" anchor="ctr"/>
              <a:lstStyle/>
              <a:p>
                <a:pPr algn="ctr">
                  <a:defRPr lang="en-US" cap="none" sz="730" b="0" i="0" u="none" baseline="0">
                    <a:latin typeface="Arial"/>
                    <a:ea typeface="Arial"/>
                    <a:cs typeface="Arial"/>
                  </a:defRPr>
                </a:pPr>
              </a:p>
            </c:txPr>
            <c:dLblPos val="t"/>
            <c:showLegendKey val="0"/>
            <c:showVal val="0"/>
            <c:showBubbleSize val="0"/>
            <c:showCatName val="0"/>
            <c:showSerName val="0"/>
            <c:showLeaderLines val="1"/>
            <c:showPercent val="0"/>
          </c:dLbls>
          <c:cat>
            <c:strRef>
              <c:f>Sheet1!$A$35:$A$46</c:f>
              <c:strCache/>
            </c:strRef>
          </c:cat>
          <c:val>
            <c:numRef>
              <c:f>Sheet1!$D$35:$D$46</c:f>
              <c:numCache/>
            </c:numRef>
          </c:val>
          <c:smooth val="0"/>
        </c:ser>
        <c:marker val="1"/>
        <c:axId val="39785411"/>
        <c:axId val="22524380"/>
      </c:lineChart>
      <c:catAx>
        <c:axId val="39785411"/>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20" b="0" i="0" u="none" baseline="0">
                <a:latin typeface="Arial"/>
                <a:ea typeface="Arial"/>
                <a:cs typeface="Arial"/>
              </a:defRPr>
            </a:pPr>
          </a:p>
        </c:txPr>
        <c:crossAx val="22524380"/>
        <c:crossesAt val="0"/>
        <c:auto val="1"/>
        <c:lblOffset val="100"/>
        <c:noMultiLvlLbl val="0"/>
      </c:catAx>
      <c:valAx>
        <c:axId val="22524380"/>
        <c:scaling>
          <c:orientation val="minMax"/>
        </c:scaling>
        <c:axPos val="l"/>
        <c:title>
          <c:tx>
            <c:rich>
              <a:bodyPr vert="horz" rot="-5400000" anchor="ctr"/>
              <a:lstStyle/>
              <a:p>
                <a:pPr algn="ctr">
                  <a:defRPr/>
                </a:pPr>
                <a:r>
                  <a:rPr lang="en-US" cap="none" sz="1090" b="0" i="0" u="none" baseline="0">
                    <a:latin typeface="Arial"/>
                    <a:ea typeface="Arial"/>
                    <a:cs typeface="Arial"/>
                  </a:rPr>
                  <a:t>kWh and $</a:t>
                </a:r>
              </a:p>
            </c:rich>
          </c:tx>
          <c:layout/>
          <c:overlay val="0"/>
          <c:spPr>
            <a:noFill/>
            <a:ln w="3175">
              <a:noFill/>
            </a:ln>
          </c:spPr>
        </c:title>
        <c:majorGridlines>
          <c:spPr>
            <a:ln w="3175">
              <a:solidFill>
                <a:srgbClr val="000000"/>
              </a:solidFill>
            </a:ln>
          </c:spPr>
        </c:majorGridlines>
        <c:delete val="0"/>
        <c:numFmt formatCode="GENERAL" sourceLinked="0"/>
        <c:majorTickMark val="out"/>
        <c:minorTickMark val="none"/>
        <c:tickLblPos val="low"/>
        <c:spPr>
          <a:ln w="3175">
            <a:solidFill>
              <a:srgbClr val="000000"/>
            </a:solidFill>
          </a:ln>
        </c:spPr>
        <c:txPr>
          <a:bodyPr vert="horz" rot="0"/>
          <a:lstStyle/>
          <a:p>
            <a:pPr>
              <a:defRPr lang="en-US" cap="none" sz="820" b="0" i="0" u="none" baseline="0">
                <a:latin typeface="Arial"/>
                <a:ea typeface="Arial"/>
                <a:cs typeface="Arial"/>
              </a:defRPr>
            </a:pPr>
          </a:p>
        </c:txPr>
        <c:crossAx val="39785411"/>
        <c:crossesAt val="1"/>
        <c:crossBetween val="midCat"/>
        <c:dispUnits/>
      </c:valAx>
      <c:spPr>
        <a:solidFill>
          <a:srgbClr val="D9D9D9"/>
        </a:solidFill>
        <a:ln w="3175">
          <a:noFill/>
        </a:ln>
      </c:spPr>
    </c:plotArea>
    <c:legend>
      <c:legendPos val="r"/>
      <c:layout/>
      <c:overlay val="0"/>
      <c:spPr>
        <a:solidFill>
          <a:srgbClr val="FFFFFF"/>
        </a:solidFill>
        <a:ln w="3175">
          <a:solidFill>
            <a:srgbClr val="000000"/>
          </a:solidFill>
        </a:ln>
      </c:spPr>
      <c:txPr>
        <a:bodyPr vert="horz" rot="0"/>
        <a:lstStyle/>
        <a:p>
          <a:pPr>
            <a:defRPr lang="en-US" cap="none" sz="900" b="0" i="0" u="none" baseline="0">
              <a:latin typeface="Arial"/>
              <a:ea typeface="Arial"/>
              <a:cs typeface="Arial"/>
            </a:defRPr>
          </a:pPr>
        </a:p>
      </c:txPr>
    </c:legend>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266700</xdr:colOff>
      <xdr:row>144</xdr:row>
      <xdr:rowOff>161925</xdr:rowOff>
    </xdr:from>
    <xdr:to>
      <xdr:col>16</xdr:col>
      <xdr:colOff>600075</xdr:colOff>
      <xdr:row>164</xdr:row>
      <xdr:rowOff>47625</xdr:rowOff>
    </xdr:to>
    <xdr:graphicFrame>
      <xdr:nvGraphicFramePr>
        <xdr:cNvPr id="1" name="Chart 8"/>
        <xdr:cNvGraphicFramePr/>
      </xdr:nvGraphicFramePr>
      <xdr:xfrm>
        <a:off x="9048750" y="23479125"/>
        <a:ext cx="4962525" cy="3124200"/>
      </xdr:xfrm>
      <a:graphic>
        <a:graphicData uri="http://schemas.openxmlformats.org/drawingml/2006/chart">
          <c:chart xmlns:c="http://schemas.openxmlformats.org/drawingml/2006/chart" r:id="rId1"/>
        </a:graphicData>
      </a:graphic>
    </xdr:graphicFrame>
    <xdr:clientData/>
  </xdr:twoCellAnchor>
  <xdr:twoCellAnchor>
    <xdr:from>
      <xdr:col>0</xdr:col>
      <xdr:colOff>990600</xdr:colOff>
      <xdr:row>113</xdr:row>
      <xdr:rowOff>19050</xdr:rowOff>
    </xdr:from>
    <xdr:to>
      <xdr:col>6</xdr:col>
      <xdr:colOff>733425</xdr:colOff>
      <xdr:row>128</xdr:row>
      <xdr:rowOff>104775</xdr:rowOff>
    </xdr:to>
    <xdr:graphicFrame>
      <xdr:nvGraphicFramePr>
        <xdr:cNvPr id="2" name="Chart 9"/>
        <xdr:cNvGraphicFramePr/>
      </xdr:nvGraphicFramePr>
      <xdr:xfrm>
        <a:off x="990600" y="18316575"/>
        <a:ext cx="5438775" cy="2514600"/>
      </xdr:xfrm>
      <a:graphic>
        <a:graphicData uri="http://schemas.openxmlformats.org/drawingml/2006/chart">
          <c:chart xmlns:c="http://schemas.openxmlformats.org/drawingml/2006/chart" r:id="rId2"/>
        </a:graphicData>
      </a:graphic>
    </xdr:graphicFrame>
    <xdr:clientData/>
  </xdr:twoCellAnchor>
  <xdr:twoCellAnchor>
    <xdr:from>
      <xdr:col>9</xdr:col>
      <xdr:colOff>323850</xdr:colOff>
      <xdr:row>32</xdr:row>
      <xdr:rowOff>133350</xdr:rowOff>
    </xdr:from>
    <xdr:to>
      <xdr:col>15</xdr:col>
      <xdr:colOff>676275</xdr:colOff>
      <xdr:row>52</xdr:row>
      <xdr:rowOff>9525</xdr:rowOff>
    </xdr:to>
    <xdr:graphicFrame>
      <xdr:nvGraphicFramePr>
        <xdr:cNvPr id="3" name="Chart 10"/>
        <xdr:cNvGraphicFramePr/>
      </xdr:nvGraphicFramePr>
      <xdr:xfrm>
        <a:off x="8334375" y="5314950"/>
        <a:ext cx="4981575" cy="311467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eocities.com/bay_creek.pv.html"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Q183"/>
  <sheetViews>
    <sheetView tabSelected="1" workbookViewId="0" topLeftCell="A1">
      <selection activeCell="A2" sqref="A2"/>
    </sheetView>
  </sheetViews>
  <sheetFormatPr defaultColWidth="12.57421875" defaultRowHeight="12.75"/>
  <cols>
    <col min="1" max="1" width="19.7109375" style="0" customWidth="1"/>
    <col min="2" max="2" width="14.7109375" style="0" customWidth="1"/>
    <col min="3" max="3" width="15.00390625" style="0" customWidth="1"/>
    <col min="4" max="4" width="11.57421875" style="0" customWidth="1"/>
    <col min="5" max="5" width="12.8515625" style="0" customWidth="1"/>
    <col min="6" max="16384" width="11.57421875" style="0" customWidth="1"/>
  </cols>
  <sheetData>
    <row r="1" ht="12.75">
      <c r="A1" s="1" t="s">
        <v>0</v>
      </c>
    </row>
    <row r="2" ht="12.75">
      <c r="A2" s="1"/>
    </row>
    <row r="3" ht="12.75">
      <c r="A3" t="s">
        <v>1</v>
      </c>
    </row>
    <row r="6" ht="12.75">
      <c r="A6" t="s">
        <v>2</v>
      </c>
    </row>
    <row r="7" spans="2:5" ht="12.75">
      <c r="B7" s="2" t="s">
        <v>3</v>
      </c>
      <c r="C7" s="2"/>
      <c r="D7" s="2"/>
      <c r="E7" s="2"/>
    </row>
    <row r="8" spans="2:5" ht="12.75">
      <c r="B8" s="3" t="s">
        <v>4</v>
      </c>
      <c r="C8" s="3"/>
      <c r="D8" s="3"/>
      <c r="E8" s="3"/>
    </row>
    <row r="10" ht="12.75">
      <c r="A10" s="1" t="s">
        <v>5</v>
      </c>
    </row>
    <row r="11" spans="2:7" ht="12.75">
      <c r="B11" t="s">
        <v>6</v>
      </c>
      <c r="C11" t="s">
        <v>7</v>
      </c>
      <c r="D11" t="s">
        <v>8</v>
      </c>
      <c r="E11" t="s">
        <v>9</v>
      </c>
      <c r="F11" t="s">
        <v>10</v>
      </c>
      <c r="G11" t="s">
        <v>11</v>
      </c>
    </row>
    <row r="12" spans="1:7" ht="12.75">
      <c r="A12" t="s">
        <v>12</v>
      </c>
      <c r="B12" s="3">
        <v>9.642</v>
      </c>
      <c r="C12" s="3">
        <v>8.642</v>
      </c>
      <c r="D12" s="4">
        <f>(4*B12+8*C12)/12</f>
        <v>8.975333333333333</v>
      </c>
      <c r="E12" s="3">
        <v>1</v>
      </c>
      <c r="F12" s="3">
        <v>3</v>
      </c>
      <c r="G12" s="5">
        <v>0.056</v>
      </c>
    </row>
    <row r="13" spans="1:7" ht="12.75">
      <c r="A13" t="s">
        <v>13</v>
      </c>
      <c r="B13" s="3">
        <v>25</v>
      </c>
      <c r="C13" s="3">
        <v>25</v>
      </c>
      <c r="F13">
        <v>0</v>
      </c>
      <c r="G13" s="5">
        <v>0</v>
      </c>
    </row>
    <row r="14" spans="1:7" ht="12.75">
      <c r="A14" t="s">
        <v>14</v>
      </c>
      <c r="B14" s="3">
        <v>19.541</v>
      </c>
      <c r="C14" s="3">
        <v>17.151</v>
      </c>
      <c r="E14">
        <v>1</v>
      </c>
      <c r="F14" s="3">
        <v>3</v>
      </c>
      <c r="G14" s="6">
        <f>$G$12</f>
        <v>0.056</v>
      </c>
    </row>
    <row r="15" spans="1:7" ht="12.75">
      <c r="A15" t="s">
        <v>15</v>
      </c>
      <c r="B15" s="3">
        <v>3.001</v>
      </c>
      <c r="C15" s="3">
        <v>3.001</v>
      </c>
      <c r="E15" s="4">
        <f>E14</f>
        <v>1</v>
      </c>
      <c r="F15" s="3">
        <v>3</v>
      </c>
      <c r="G15" s="6">
        <f>$G$12</f>
        <v>0.056</v>
      </c>
    </row>
    <row r="16" spans="1:7" ht="12.75">
      <c r="A16" t="s">
        <v>16</v>
      </c>
      <c r="B16" s="4">
        <f>(B14*$B$21+B15*(1-$B$21))</f>
        <v>14.412581108829569</v>
      </c>
      <c r="C16" s="4">
        <f>(C14*$B$21+C15*(1-$B$21))</f>
        <v>12.763628336755646</v>
      </c>
      <c r="E16">
        <v>1</v>
      </c>
      <c r="F16" s="4">
        <f>F14</f>
        <v>3</v>
      </c>
      <c r="G16" s="6">
        <f>$G$12</f>
        <v>0.056</v>
      </c>
    </row>
    <row r="17" spans="1:7" ht="12.75">
      <c r="A17" t="s">
        <v>17</v>
      </c>
      <c r="B17" s="4">
        <f>B15</f>
        <v>3.001</v>
      </c>
      <c r="C17" s="4">
        <f>C15</f>
        <v>3.001</v>
      </c>
      <c r="E17" s="4">
        <f>E16</f>
        <v>1</v>
      </c>
      <c r="F17" s="4">
        <f>F15</f>
        <v>3</v>
      </c>
      <c r="G17" s="6">
        <f>$G$12</f>
        <v>0.056</v>
      </c>
    </row>
    <row r="20" spans="1:2" ht="12.75">
      <c r="A20" t="s">
        <v>18</v>
      </c>
      <c r="B20" s="3">
        <v>8</v>
      </c>
    </row>
    <row r="21" spans="1:2" ht="12.75">
      <c r="A21" t="s">
        <v>19</v>
      </c>
      <c r="B21" s="3">
        <f>(5*52-$B$20)/365.25</f>
        <v>0.6899383983572895</v>
      </c>
    </row>
    <row r="22" spans="1:2" ht="12.75">
      <c r="A22" t="s">
        <v>20</v>
      </c>
      <c r="B22" s="3">
        <f>B21*11/24</f>
        <v>0.31622176591375767</v>
      </c>
    </row>
    <row r="23" spans="1:2" ht="12.75">
      <c r="A23" t="s">
        <v>21</v>
      </c>
      <c r="B23" s="4">
        <f>2400/2000</f>
        <v>1.2</v>
      </c>
    </row>
    <row r="24" spans="1:2" ht="12.75">
      <c r="A24" t="s">
        <v>22</v>
      </c>
      <c r="B24" s="4">
        <f>1000*12/(24*365.25)</f>
        <v>1.3689253935660506</v>
      </c>
    </row>
    <row r="26" ht="12.75">
      <c r="A26" s="1" t="s">
        <v>23</v>
      </c>
    </row>
    <row r="27" spans="2:3" ht="12.75">
      <c r="B27" t="s">
        <v>24</v>
      </c>
      <c r="C27" t="s">
        <v>25</v>
      </c>
    </row>
    <row r="28" spans="1:3" ht="12.75">
      <c r="A28" s="7" t="s">
        <v>26</v>
      </c>
      <c r="C28" s="4">
        <f>C47</f>
        <v>2298</v>
      </c>
    </row>
    <row r="29" spans="1:4" ht="12.75">
      <c r="A29" s="7" t="s">
        <v>27</v>
      </c>
      <c r="C29" s="2">
        <v>264</v>
      </c>
      <c r="D29" t="s">
        <v>28</v>
      </c>
    </row>
    <row r="30" spans="1:3" ht="12.75">
      <c r="A30" s="7" t="s">
        <v>29</v>
      </c>
      <c r="C30" s="1">
        <f>C28-C29</f>
        <v>2034</v>
      </c>
    </row>
    <row r="31" spans="1:3" ht="12.75">
      <c r="A31" t="s">
        <v>30</v>
      </c>
      <c r="B31" s="8">
        <f>$C$56</f>
        <v>1750</v>
      </c>
      <c r="C31" s="1">
        <f>B31*conv_W_kWhPy</f>
        <v>2100</v>
      </c>
    </row>
    <row r="32" ht="12.75">
      <c r="A32" s="9"/>
    </row>
    <row r="33" spans="1:8" ht="12.75">
      <c r="A33" s="9"/>
      <c r="B33" t="s">
        <v>31</v>
      </c>
      <c r="C33" t="s">
        <v>32</v>
      </c>
      <c r="E33" t="s">
        <v>33</v>
      </c>
      <c r="F33" t="s">
        <v>34</v>
      </c>
      <c r="G33" t="s">
        <v>34</v>
      </c>
      <c r="H33" t="s">
        <v>34</v>
      </c>
    </row>
    <row r="34" spans="2:8" ht="12.75">
      <c r="B34" t="s">
        <v>35</v>
      </c>
      <c r="C34" t="s">
        <v>36</v>
      </c>
      <c r="D34" t="s">
        <v>37</v>
      </c>
      <c r="E34" t="s">
        <v>38</v>
      </c>
      <c r="F34" t="s">
        <v>39</v>
      </c>
      <c r="G34" t="s">
        <v>40</v>
      </c>
      <c r="H34" t="s">
        <v>41</v>
      </c>
    </row>
    <row r="35" spans="1:8" ht="12.75">
      <c r="A35" t="s">
        <v>42</v>
      </c>
      <c r="B35" s="2">
        <v>136</v>
      </c>
      <c r="C35" s="2">
        <v>227</v>
      </c>
      <c r="D35" s="4">
        <f>C35-$C$29/12</f>
        <v>205</v>
      </c>
      <c r="E35" s="4">
        <f>$D35*($C$12+$E$12+$F$12)/100</f>
        <v>25.916099999999997</v>
      </c>
      <c r="F35" s="4">
        <f>$B35*($C$12+$E$12+$F$12)/100</f>
        <v>17.19312</v>
      </c>
      <c r="G35" s="4">
        <f>$B35*($C$13+$F$13)/100</f>
        <v>34</v>
      </c>
      <c r="H35" s="4">
        <f>$B35*($C$16+$E$16+$F$16)/100</f>
        <v>22.798534537987674</v>
      </c>
    </row>
    <row r="36" spans="1:8" ht="12.75">
      <c r="A36" t="s">
        <v>43</v>
      </c>
      <c r="B36" s="2">
        <v>167</v>
      </c>
      <c r="C36" s="2">
        <v>199</v>
      </c>
      <c r="D36" s="4">
        <f>C36-$C$29/12</f>
        <v>177</v>
      </c>
      <c r="E36" s="4">
        <f>$D36*($C$12+$E$12+$F$12)/100</f>
        <v>22.37634</v>
      </c>
      <c r="F36" s="4">
        <f>$B36*($C$12+$E$12+$F$12)/100</f>
        <v>21.11214</v>
      </c>
      <c r="G36" s="4">
        <f>$B36*($C$13+$F$13)/100</f>
        <v>41.75</v>
      </c>
      <c r="H36" s="4">
        <f>$B36*($C$16+$E$16+$F$16)/100</f>
        <v>27.995259322381926</v>
      </c>
    </row>
    <row r="37" spans="1:8" ht="12.75">
      <c r="A37" t="s">
        <v>44</v>
      </c>
      <c r="B37" s="2">
        <v>191</v>
      </c>
      <c r="C37" s="2">
        <v>184</v>
      </c>
      <c r="D37" s="4">
        <f>C37-$C$29/12</f>
        <v>162</v>
      </c>
      <c r="E37" s="4">
        <f>$D37*($C$12+$E$12+$F$12)/100</f>
        <v>20.48004</v>
      </c>
      <c r="F37" s="4">
        <f>$B37*($C$12+$E$12+$F$12)/100</f>
        <v>24.14622</v>
      </c>
      <c r="G37" s="4">
        <f>$B37*($C$13+$F$13)/100</f>
        <v>47.75</v>
      </c>
      <c r="H37" s="4">
        <f>$B37*($C$16+$E$16+$F$16)/100</f>
        <v>32.018530123203284</v>
      </c>
    </row>
    <row r="38" spans="1:8" ht="12.75">
      <c r="A38" t="s">
        <v>45</v>
      </c>
      <c r="B38" s="2">
        <v>189</v>
      </c>
      <c r="C38" s="2">
        <v>178</v>
      </c>
      <c r="D38" s="4">
        <f>C38-$C$29/12</f>
        <v>156</v>
      </c>
      <c r="E38" s="4">
        <f>$D38*($C$12+$E$12+$F$12)/100</f>
        <v>19.721519999999998</v>
      </c>
      <c r="F38" s="4">
        <f>$B38*($C$12+$E$12+$F$12)/100</f>
        <v>23.893379999999997</v>
      </c>
      <c r="G38" s="4">
        <f>$B38*($C$13+$F$13)/100</f>
        <v>47.25</v>
      </c>
      <c r="H38" s="4">
        <f>$B38*($C$16+$E$16+$F$16)/100</f>
        <v>31.68325755646817</v>
      </c>
    </row>
    <row r="39" spans="1:8" ht="12.75">
      <c r="A39" t="s">
        <v>46</v>
      </c>
      <c r="B39" s="2">
        <v>231</v>
      </c>
      <c r="C39" s="2">
        <v>150</v>
      </c>
      <c r="D39" s="4">
        <f>C39-$C$29/12</f>
        <v>128</v>
      </c>
      <c r="E39" s="4">
        <f>$D39*($C$12+$E$12+$F$12)/100</f>
        <v>16.18176</v>
      </c>
      <c r="F39" s="4">
        <f>$B39*($C$12+$E$12+$F$12)/100</f>
        <v>29.203019999999995</v>
      </c>
      <c r="G39" s="4">
        <f>$B39*($C$13+$F$13)/100</f>
        <v>57.75</v>
      </c>
      <c r="H39" s="4">
        <f>$B39*($C$16+$E$16+$F$16)/100</f>
        <v>38.72398145790554</v>
      </c>
    </row>
    <row r="40" spans="1:8" ht="12.75">
      <c r="A40" t="s">
        <v>47</v>
      </c>
      <c r="B40" s="2">
        <v>225</v>
      </c>
      <c r="C40" s="2">
        <v>196</v>
      </c>
      <c r="D40" s="4">
        <f>C40-$C$29/12</f>
        <v>174</v>
      </c>
      <c r="E40" s="4">
        <f>$D40*($B$12+$E$12+$F$12)/100</f>
        <v>23.737080000000002</v>
      </c>
      <c r="F40" s="4">
        <f>$B40*($B$12+$E$12+$F$12)/100</f>
        <v>30.694499999999998</v>
      </c>
      <c r="G40" s="4">
        <f>$B40*($B$13+$F$13)/100</f>
        <v>56.25</v>
      </c>
      <c r="H40" s="4">
        <f>$B40*($B$16+$E$16+$F$16)/100</f>
        <v>41.42830749486653</v>
      </c>
    </row>
    <row r="41" spans="1:8" ht="12.75">
      <c r="A41" t="s">
        <v>48</v>
      </c>
      <c r="B41" s="2">
        <v>227</v>
      </c>
      <c r="C41" s="2">
        <v>180</v>
      </c>
      <c r="D41" s="4">
        <f>C41-$C$29/12</f>
        <v>158</v>
      </c>
      <c r="E41" s="4">
        <f>$D41*($B$12+$E$12+$F$12)/100</f>
        <v>21.554359999999996</v>
      </c>
      <c r="F41" s="4">
        <f>$B41*($B$12+$E$12+$F$12)/100</f>
        <v>30.96734</v>
      </c>
      <c r="G41" s="4">
        <f>$B41*($B$13+$F$13)/100</f>
        <v>56.75</v>
      </c>
      <c r="H41" s="4">
        <f>$B41*($B$16+$E$16+$F$16)/100</f>
        <v>41.796559117043124</v>
      </c>
    </row>
    <row r="42" spans="1:8" ht="12.75">
      <c r="A42" t="s">
        <v>49</v>
      </c>
      <c r="B42" s="2">
        <v>227</v>
      </c>
      <c r="C42" s="2">
        <v>168</v>
      </c>
      <c r="D42" s="4">
        <f>C42-$C$29/12</f>
        <v>146</v>
      </c>
      <c r="E42" s="4">
        <f>$D42*($B$12+$E$12+$F$12)/100</f>
        <v>19.91732</v>
      </c>
      <c r="F42" s="4">
        <f>$B42*($B$12+$E$12+$F$12)/100</f>
        <v>30.96734</v>
      </c>
      <c r="G42" s="4">
        <f>$B42*($B$13+$F$13)/100</f>
        <v>56.75</v>
      </c>
      <c r="H42" s="4">
        <f>$B42*($B$16+$E$16+$F$16)/100</f>
        <v>41.796559117043124</v>
      </c>
    </row>
    <row r="43" spans="1:8" ht="12.75">
      <c r="A43" t="s">
        <v>50</v>
      </c>
      <c r="B43" s="2">
        <v>180</v>
      </c>
      <c r="C43" s="2">
        <v>167</v>
      </c>
      <c r="D43" s="4">
        <f>C43-$C$29/12</f>
        <v>145</v>
      </c>
      <c r="E43" s="4">
        <f>$D43*($B$12+$E$12+$F$12)/100</f>
        <v>19.7809</v>
      </c>
      <c r="F43" s="4">
        <f>$B43*($B$12+$E$12+$F$12)/100</f>
        <v>24.5556</v>
      </c>
      <c r="G43" s="4">
        <f>$B43*($B$13+$F$13)/100</f>
        <v>45</v>
      </c>
      <c r="H43" s="4">
        <f>$B43*($B$16+$E$16+$F$16)/100</f>
        <v>33.142645995893226</v>
      </c>
    </row>
    <row r="44" spans="1:8" ht="12.75">
      <c r="A44" t="s">
        <v>51</v>
      </c>
      <c r="B44" s="2">
        <v>159</v>
      </c>
      <c r="C44" s="2">
        <v>164</v>
      </c>
      <c r="D44" s="4">
        <f>C44-$C$29/12</f>
        <v>142</v>
      </c>
      <c r="E44" s="4">
        <f>$D44*($C$12+$E$12+$F$12)/100</f>
        <v>17.95164</v>
      </c>
      <c r="F44" s="4">
        <f>$B44*($C$12+$E$12+$F$12)/100</f>
        <v>20.10078</v>
      </c>
      <c r="G44" s="4">
        <f>$B44*($C$13+$F$13)/100</f>
        <v>39.75</v>
      </c>
      <c r="H44" s="4">
        <f>$B44*($C$16+$E$16+$F$16)/100</f>
        <v>26.654169055441475</v>
      </c>
    </row>
    <row r="45" spans="1:8" ht="12.75">
      <c r="A45" t="s">
        <v>52</v>
      </c>
      <c r="B45" s="2">
        <v>113</v>
      </c>
      <c r="C45" s="2">
        <v>213</v>
      </c>
      <c r="D45" s="4">
        <f>C45-$C$29/12</f>
        <v>191</v>
      </c>
      <c r="E45" s="4">
        <f>$D45*($C$12+$E$12+$F$12)/100</f>
        <v>24.14622</v>
      </c>
      <c r="F45" s="4">
        <f>$B45*($C$12+$E$12+$F$12)/100</f>
        <v>14.28546</v>
      </c>
      <c r="G45" s="4">
        <f>$B45*($C$13+$F$13)/100</f>
        <v>28.25</v>
      </c>
      <c r="H45" s="4">
        <f>$B45*($C$16+$E$16+$F$16)/100</f>
        <v>18.942900020533877</v>
      </c>
    </row>
    <row r="46" spans="1:8" ht="12.75">
      <c r="A46" t="s">
        <v>53</v>
      </c>
      <c r="B46" s="2">
        <v>121</v>
      </c>
      <c r="C46" s="2">
        <v>272</v>
      </c>
      <c r="D46" s="4">
        <f>C46-$C$29/12</f>
        <v>250</v>
      </c>
      <c r="E46" s="4">
        <f>$D46*($C$12+$E$12+$F$12)/100</f>
        <v>31.605</v>
      </c>
      <c r="F46" s="4">
        <f>$B46*($C$12+$E$12+$F$12)/100</f>
        <v>15.29682</v>
      </c>
      <c r="G46" s="4">
        <f>$B46*($C$13+$F$13)/100</f>
        <v>30.25</v>
      </c>
      <c r="H46" s="4">
        <f>$B46*($C$16+$E$16+$F$16)/100</f>
        <v>20.28399028747433</v>
      </c>
    </row>
    <row r="47" spans="1:8" ht="12.75">
      <c r="A47" t="s">
        <v>54</v>
      </c>
      <c r="B47" s="4">
        <f>SUM(B35:B46)</f>
        <v>2166</v>
      </c>
      <c r="C47" s="4">
        <f>SUM(C35:C46)</f>
        <v>2298</v>
      </c>
      <c r="D47" s="4">
        <f>SUM(D35:D46)</f>
        <v>2034</v>
      </c>
      <c r="E47" s="4">
        <f>SUM(E35:E46)</f>
        <v>263.36827999999997</v>
      </c>
      <c r="F47" s="4">
        <f>SUM(F35:F46)</f>
        <v>282.41572</v>
      </c>
      <c r="G47" s="4">
        <f>SUM(G35:G46)</f>
        <v>541.5</v>
      </c>
      <c r="H47" s="4">
        <f>SUM(H35:H46)</f>
        <v>377.26469408624234</v>
      </c>
    </row>
    <row r="49" spans="1:8" ht="12.75">
      <c r="A49" t="s">
        <v>55</v>
      </c>
      <c r="B49" s="4">
        <f>SUM(B40:B43)</f>
        <v>859</v>
      </c>
      <c r="C49" s="4">
        <f>SUM(C40:C43)</f>
        <v>711</v>
      </c>
      <c r="D49" s="4">
        <f>SUM(D40:D43)</f>
        <v>623</v>
      </c>
      <c r="E49" s="4">
        <f>SUM(E40:E43)</f>
        <v>84.98966</v>
      </c>
      <c r="F49" s="4">
        <f>SUM(F40:F43)</f>
        <v>117.18477999999999</v>
      </c>
      <c r="G49" s="4">
        <f>SUM(G40:G43)</f>
        <v>214.75</v>
      </c>
      <c r="H49" s="4">
        <f>SUM(H40:H43)</f>
        <v>158.164071724846</v>
      </c>
    </row>
    <row r="50" spans="1:8" ht="12.75">
      <c r="A50" t="s">
        <v>56</v>
      </c>
      <c r="B50" s="4">
        <f>SUM(B35:B36)+SUM(B45:B46)</f>
        <v>537</v>
      </c>
      <c r="C50" s="4">
        <f>SUM(C35:C36)+SUM(C45:C46)</f>
        <v>911</v>
      </c>
      <c r="D50" s="4">
        <f>SUM(D35:D36)+SUM(D45:D46)</f>
        <v>823</v>
      </c>
      <c r="E50" s="4">
        <f>SUM(E35:E36)+SUM(E45:E46)</f>
        <v>104.04366</v>
      </c>
      <c r="F50" s="4">
        <f>SUM(F35:F36)+SUM(F45:F46)</f>
        <v>67.88754</v>
      </c>
      <c r="G50" s="4">
        <f>SUM(G35:G36)+SUM(G45:G46)</f>
        <v>134.25</v>
      </c>
      <c r="H50" s="4">
        <f>SUM(H35:H36)+SUM(H45:H46)</f>
        <v>90.02068416837781</v>
      </c>
    </row>
    <row r="51" spans="1:8" ht="12.75">
      <c r="A51" t="s">
        <v>57</v>
      </c>
      <c r="B51" s="4">
        <f>SUM(B37:B39)+SUM(B44)</f>
        <v>770</v>
      </c>
      <c r="C51" s="4">
        <f>SUM(C37:C39)+SUM(C44)</f>
        <v>676</v>
      </c>
      <c r="D51" s="4">
        <f>SUM(D37:D39)+SUM(D44)</f>
        <v>588</v>
      </c>
      <c r="E51" s="4">
        <f>SUM(E37:E39)+SUM(E44)</f>
        <v>74.33496</v>
      </c>
      <c r="F51" s="4">
        <f>SUM(F37:F39)+SUM(F44)</f>
        <v>97.34339999999999</v>
      </c>
      <c r="G51" s="4">
        <f>SUM(G37:G39)+SUM(G44)</f>
        <v>192.5</v>
      </c>
      <c r="H51" s="4">
        <f>SUM(H37:H39)+SUM(H44)</f>
        <v>129.07993819301848</v>
      </c>
    </row>
    <row r="52" spans="1:8" ht="12.75">
      <c r="A52" t="s">
        <v>54</v>
      </c>
      <c r="B52" s="4">
        <f>SUM(B49:B51)</f>
        <v>2166</v>
      </c>
      <c r="C52" s="4">
        <f>SUM(C49:C51)</f>
        <v>2298</v>
      </c>
      <c r="D52" s="4">
        <f>SUM(D49:D51)</f>
        <v>2034</v>
      </c>
      <c r="E52" s="4">
        <f>SUM(E49:E51)</f>
        <v>263.36828</v>
      </c>
      <c r="F52" s="4">
        <f>SUM(F49:F51)</f>
        <v>282.41571999999996</v>
      </c>
      <c r="G52" s="4">
        <f>SUM(G49:G51)</f>
        <v>541.5</v>
      </c>
      <c r="H52" s="4">
        <f>SUM(H49:H51)</f>
        <v>377.2646940862423</v>
      </c>
    </row>
    <row r="55" spans="2:10" ht="12.75">
      <c r="B55" t="s">
        <v>54</v>
      </c>
      <c r="C55" t="s">
        <v>58</v>
      </c>
      <c r="D55" t="s">
        <v>59</v>
      </c>
      <c r="E55" t="s">
        <v>60</v>
      </c>
      <c r="F55" t="s">
        <v>61</v>
      </c>
      <c r="G55" t="s">
        <v>54</v>
      </c>
      <c r="H55" t="s">
        <v>62</v>
      </c>
      <c r="I55" t="s">
        <v>63</v>
      </c>
      <c r="J55" t="s">
        <v>64</v>
      </c>
    </row>
    <row r="56" spans="1:10" ht="12.75">
      <c r="A56" t="s">
        <v>65</v>
      </c>
      <c r="B56" s="2">
        <v>15275</v>
      </c>
      <c r="C56" s="4">
        <f>10*175</f>
        <v>1750</v>
      </c>
      <c r="D56" s="4">
        <f>B56/C56</f>
        <v>8.728571428571428</v>
      </c>
      <c r="E56" s="4">
        <f>MIN(1.5*$B$47,B56*0.25)</f>
        <v>3249</v>
      </c>
      <c r="F56" s="4">
        <f>1500*C56*2/1000</f>
        <v>5250</v>
      </c>
      <c r="G56" s="4">
        <f>$B56-SUM($E56:$F56)</f>
        <v>6776</v>
      </c>
      <c r="H56">
        <v>600</v>
      </c>
      <c r="I56" s="4">
        <f>G56/C56</f>
        <v>3.872</v>
      </c>
      <c r="J56" s="4">
        <f>E56/B56</f>
        <v>0.21270049099836333</v>
      </c>
    </row>
    <row r="57" spans="1:10" ht="12.75">
      <c r="A57" t="s">
        <v>66</v>
      </c>
      <c r="B57" s="2">
        <v>15275</v>
      </c>
      <c r="C57" s="4">
        <f>10*175</f>
        <v>1750</v>
      </c>
      <c r="D57" s="4">
        <f>B57/C57</f>
        <v>8.728571428571428</v>
      </c>
      <c r="E57" s="4">
        <f>MIN(1.5*$B$47,B57*0.25)</f>
        <v>3249</v>
      </c>
      <c r="F57" s="4">
        <f>MIN(2000,B57*0.3)</f>
        <v>2000</v>
      </c>
      <c r="G57" s="4">
        <f>$B57-SUM($E57:$F57)</f>
        <v>10026</v>
      </c>
      <c r="H57">
        <v>600</v>
      </c>
      <c r="I57" s="4">
        <f>G57/C57</f>
        <v>5.7291428571428575</v>
      </c>
      <c r="J57" s="4">
        <f>E57/B57</f>
        <v>0.21270049099836333</v>
      </c>
    </row>
    <row r="58" spans="1:10" ht="12.75">
      <c r="A58" t="s">
        <v>67</v>
      </c>
      <c r="B58" s="2">
        <v>18920</v>
      </c>
      <c r="C58" s="4">
        <f>106*17</f>
        <v>1802</v>
      </c>
      <c r="D58" s="4">
        <f>B58/C58</f>
        <v>10.499445061043286</v>
      </c>
      <c r="E58" s="4">
        <f>MIN(1.5*$B$47,B58*0.25)</f>
        <v>3249</v>
      </c>
      <c r="F58" s="4">
        <f>MIN(2000,B58*0.3)</f>
        <v>2000</v>
      </c>
      <c r="G58" s="4">
        <f>$B58-SUM($E58:$F58)</f>
        <v>13671</v>
      </c>
      <c r="H58" s="4">
        <f>B58*0.055/1.055</f>
        <v>986.3507109004739</v>
      </c>
      <c r="I58" s="4">
        <f>G58/C58</f>
        <v>7.586570477247503</v>
      </c>
      <c r="J58" s="4">
        <f>E58/B58</f>
        <v>0.171723044397463</v>
      </c>
    </row>
    <row r="59" spans="1:10" ht="12.75">
      <c r="A59" t="s">
        <v>68</v>
      </c>
      <c r="B59" s="2">
        <v>19562</v>
      </c>
      <c r="C59" s="4">
        <f>9*208</f>
        <v>1872</v>
      </c>
      <c r="D59" s="4">
        <f>B59/C59</f>
        <v>10.449786324786325</v>
      </c>
      <c r="E59" s="4">
        <f>MIN(1.5*$B$47,B59*0.25)</f>
        <v>3249</v>
      </c>
      <c r="F59" s="4">
        <f>MIN(2000,B59*0.3)</f>
        <v>2000</v>
      </c>
      <c r="G59" s="4">
        <f>$B59-SUM($E59:$F59)</f>
        <v>14313</v>
      </c>
      <c r="H59" s="4">
        <f>B59*0.055/1.055</f>
        <v>1019.8199052132703</v>
      </c>
      <c r="I59" s="4">
        <f>G59/C59</f>
        <v>7.645833333333333</v>
      </c>
      <c r="J59" s="4">
        <f>E59/B59</f>
        <v>0.16608731213577343</v>
      </c>
    </row>
    <row r="60" spans="1:2" ht="12.75">
      <c r="A60" t="s">
        <v>69</v>
      </c>
      <c r="B60">
        <v>1</v>
      </c>
    </row>
    <row r="61" spans="1:10" ht="12.75">
      <c r="A61" t="s">
        <v>70</v>
      </c>
      <c r="B61" s="4">
        <f>B56*$B$60</f>
        <v>15275</v>
      </c>
      <c r="C61" s="4">
        <f>C56*$B$60</f>
        <v>1750</v>
      </c>
      <c r="D61" s="4">
        <f>B61/C61</f>
        <v>8.728571428571428</v>
      </c>
      <c r="E61" s="4">
        <f>MIN(1.5*$B$47*$B$60,B61*0.25)</f>
        <v>3249</v>
      </c>
      <c r="F61" s="4">
        <f>MIN(2000,B61*0.3)</f>
        <v>2000</v>
      </c>
      <c r="G61" s="4">
        <f>$B61-SUM($E61:$F61)</f>
        <v>10026</v>
      </c>
      <c r="H61" s="4">
        <f>H56*$B$60</f>
        <v>600</v>
      </c>
      <c r="I61" s="4">
        <f>G61/C61</f>
        <v>5.7291428571428575</v>
      </c>
      <c r="J61" s="4">
        <f>E61/B61</f>
        <v>0.21270049099836333</v>
      </c>
    </row>
    <row r="63" ht="12.75">
      <c r="A63" s="1" t="s">
        <v>71</v>
      </c>
    </row>
    <row r="64" ht="12.75">
      <c r="A64" t="s">
        <v>72</v>
      </c>
    </row>
    <row r="65" ht="12.75">
      <c r="A65" t="s">
        <v>73</v>
      </c>
    </row>
    <row r="66" spans="5:16" ht="12.75">
      <c r="E66" t="s">
        <v>74</v>
      </c>
      <c r="F66" t="s">
        <v>75</v>
      </c>
      <c r="I66" s="7"/>
      <c r="P66" t="s">
        <v>76</v>
      </c>
    </row>
    <row r="67" spans="1:16" ht="12.75">
      <c r="A67" t="s">
        <v>77</v>
      </c>
      <c r="B67" t="s">
        <v>78</v>
      </c>
      <c r="D67" t="s">
        <v>79</v>
      </c>
      <c r="E67" t="s">
        <v>80</v>
      </c>
      <c r="F67" t="s">
        <v>81</v>
      </c>
      <c r="G67" t="s">
        <v>82</v>
      </c>
      <c r="H67" t="s">
        <v>83</v>
      </c>
      <c r="I67" t="s">
        <v>84</v>
      </c>
      <c r="L67" t="s">
        <v>34</v>
      </c>
      <c r="M67" t="s">
        <v>83</v>
      </c>
      <c r="N67" t="s">
        <v>84</v>
      </c>
      <c r="P67" t="s">
        <v>85</v>
      </c>
    </row>
    <row r="68" spans="1:13" ht="12.75">
      <c r="A68">
        <v>0</v>
      </c>
      <c r="B68" s="4">
        <f>$G$61-$H$61</f>
        <v>9426</v>
      </c>
      <c r="H68" s="4">
        <f>H67-$B68+G68</f>
        <v>-9426</v>
      </c>
      <c r="M68" s="4">
        <f>M67-$B68+$L68+$F68</f>
        <v>-9426</v>
      </c>
    </row>
    <row r="69" spans="1:16" ht="12.75">
      <c r="A69">
        <v>1</v>
      </c>
      <c r="D69" s="4">
        <f>$F$47</f>
        <v>282.41572</v>
      </c>
      <c r="E69" s="4">
        <f>$H$47*$B$60</f>
        <v>377.26469408624234</v>
      </c>
      <c r="F69" s="4">
        <f>$M$177</f>
        <v>62.98942681504252</v>
      </c>
      <c r="G69" s="4">
        <f>E69+F69</f>
        <v>440.25412090128486</v>
      </c>
      <c r="H69" s="4">
        <f>H68-$B69+G69</f>
        <v>-8985.745879098715</v>
      </c>
      <c r="I69" s="4">
        <f>G69/$B$68</f>
        <v>0.046706356980828014</v>
      </c>
      <c r="L69" s="4">
        <f>$G$47*$B$60</f>
        <v>541.5</v>
      </c>
      <c r="M69" s="4">
        <f>M68-$B69+$L69+$F69</f>
        <v>-8821.510573184958</v>
      </c>
      <c r="N69" s="4">
        <f>L69/$B$68</f>
        <v>0.057447485677912156</v>
      </c>
      <c r="P69" s="4" t="e">
        <f>-PMT(#REF!/12,15*12,$B$68)*12</f>
        <v>#REF!</v>
      </c>
    </row>
    <row r="70" spans="1:16" ht="12.75">
      <c r="A70">
        <v>2</v>
      </c>
      <c r="D70" s="4">
        <f>D69*(1+inflation)</f>
        <v>298.23100032</v>
      </c>
      <c r="E70" s="4">
        <f>E69*(1+inflation)*0.99</f>
        <v>394.40760178552125</v>
      </c>
      <c r="F70" s="4">
        <f>F69*(1+inflation)</f>
        <v>66.51683471668491</v>
      </c>
      <c r="G70" s="4">
        <f>E70+F70</f>
        <v>460.92443650220616</v>
      </c>
      <c r="H70" s="4">
        <f>H69-$B70+G70</f>
        <v>-8524.821442596509</v>
      </c>
      <c r="I70" s="4">
        <f>G70/$B$68</f>
        <v>0.048899261245725245</v>
      </c>
      <c r="L70" s="4">
        <f>L69*(1+inflation_buyback)*0.99</f>
        <v>536.085</v>
      </c>
      <c r="M70" s="4">
        <f>M69-$B70+$L70+$F70</f>
        <v>-8218.908738468273</v>
      </c>
      <c r="N70" s="4">
        <f>L70/$B$68</f>
        <v>0.05687301082113304</v>
      </c>
      <c r="P70" s="4" t="e">
        <f>P69</f>
        <v>#REF!</v>
      </c>
    </row>
    <row r="71" spans="1:16" ht="12.75">
      <c r="A71">
        <v>3</v>
      </c>
      <c r="D71" s="4">
        <f>D70*(1+inflation)</f>
        <v>314.93193633792004</v>
      </c>
      <c r="E71" s="4">
        <f>E70*(1+inflation)*0.99</f>
        <v>412.3294832106554</v>
      </c>
      <c r="F71" s="4">
        <f>F70*(1+inflation)</f>
        <v>70.24177746081926</v>
      </c>
      <c r="G71" s="4">
        <f>E71+F71</f>
        <v>482.57126067147465</v>
      </c>
      <c r="H71" s="4">
        <f>H70-$B71+G71</f>
        <v>-8042.250181925034</v>
      </c>
      <c r="I71" s="4">
        <f>G71/$B$68</f>
        <v>0.05119576285502595</v>
      </c>
      <c r="L71" s="4">
        <f>L70*(1+inflation_buyback)*0.99</f>
        <v>530.72415</v>
      </c>
      <c r="M71" s="4">
        <f>M70-$B71+$L71+$F71</f>
        <v>-7617.942811007454</v>
      </c>
      <c r="N71" s="4">
        <f>L71/$B$68</f>
        <v>0.056304280712921706</v>
      </c>
      <c r="P71" s="4" t="e">
        <f>P70</f>
        <v>#REF!</v>
      </c>
    </row>
    <row r="72" spans="1:16" ht="12.75">
      <c r="A72">
        <v>4</v>
      </c>
      <c r="D72" s="4">
        <f>D71*(1+inflation)</f>
        <v>332.5681247728436</v>
      </c>
      <c r="E72" s="4">
        <f>E71*(1+inflation)*0.99</f>
        <v>431.0657349277476</v>
      </c>
      <c r="F72" s="4">
        <f>F71*(1+inflation)</f>
        <v>74.17531699862515</v>
      </c>
      <c r="G72" s="4">
        <f>E72+F72</f>
        <v>505.24105192637273</v>
      </c>
      <c r="H72" s="4">
        <f>H71-$B72+G72</f>
        <v>-7537.009129998661</v>
      </c>
      <c r="I72" s="4">
        <f>G72/$B$68</f>
        <v>0.0536007905714378</v>
      </c>
      <c r="L72" s="4">
        <f>L71*(1+inflation_buyback)*0.99</f>
        <v>525.4169085</v>
      </c>
      <c r="M72" s="4">
        <f>M71-$B72+$L72+$F72</f>
        <v>-7018.350585508829</v>
      </c>
      <c r="N72" s="4">
        <f>L72/$B$68</f>
        <v>0.05574123790579249</v>
      </c>
      <c r="P72" s="4" t="e">
        <f>P71</f>
        <v>#REF!</v>
      </c>
    </row>
    <row r="73" spans="1:16" ht="12.75">
      <c r="A73">
        <v>5</v>
      </c>
      <c r="D73" s="4">
        <f>D72*(1+inflation)</f>
        <v>351.19193976012286</v>
      </c>
      <c r="E73" s="4">
        <f>E72*(1+inflation)*0.99</f>
        <v>450.65336192286446</v>
      </c>
      <c r="F73" s="4">
        <f>F72*(1+inflation)</f>
        <v>78.32913475054816</v>
      </c>
      <c r="G73" s="4">
        <f>E73+F73</f>
        <v>528.9824966734126</v>
      </c>
      <c r="H73" s="4">
        <f>H72-$B73+G73</f>
        <v>-7008.026633325248</v>
      </c>
      <c r="I73" s="4">
        <f>G73/$B$68</f>
        <v>0.056119509513411055</v>
      </c>
      <c r="L73" s="4">
        <f>L72*(1+inflation_buyback)*0.99</f>
        <v>520.1627394149999</v>
      </c>
      <c r="M73" s="4">
        <f>M72-$B73+$L73+$F73</f>
        <v>-6419.85871134328</v>
      </c>
      <c r="N73" s="4">
        <f>L73/$B$68</f>
        <v>0.05518382552673456</v>
      </c>
      <c r="P73" s="4" t="e">
        <f>P72</f>
        <v>#REF!</v>
      </c>
    </row>
    <row r="74" spans="1:16" ht="12.75">
      <c r="A74">
        <v>6</v>
      </c>
      <c r="D74" s="4">
        <f>D73*(1+inflation)</f>
        <v>370.8586883866898</v>
      </c>
      <c r="E74" s="4">
        <f>E73*(1+inflation)*0.99</f>
        <v>471.13105068863945</v>
      </c>
      <c r="F74" s="4">
        <f>F73*(1+inflation)</f>
        <v>82.71556629657887</v>
      </c>
      <c r="G74" s="4">
        <f>E74+F74</f>
        <v>553.8466169852184</v>
      </c>
      <c r="H74" s="4">
        <f>H73-$B74+G74</f>
        <v>-6454.18001634003</v>
      </c>
      <c r="I74" s="4">
        <f>G74/$B$68</f>
        <v>0.05875733258913838</v>
      </c>
      <c r="L74" s="4">
        <f>L73*(1+inflation_buyback)*0.99</f>
        <v>514.9611120208499</v>
      </c>
      <c r="M74" s="4">
        <f>M73-$B74+$L74+$F74</f>
        <v>-5822.1820330258515</v>
      </c>
      <c r="N74" s="4">
        <f>L74/$B$68</f>
        <v>0.05463198727146721</v>
      </c>
      <c r="P74" s="4" t="e">
        <f>P73</f>
        <v>#REF!</v>
      </c>
    </row>
    <row r="75" spans="1:16" ht="12.75">
      <c r="A75">
        <v>7</v>
      </c>
      <c r="D75" s="4">
        <f>D74*(1+inflation)</f>
        <v>391.6267749363444</v>
      </c>
      <c r="E75" s="4">
        <f>E74*(1+inflation)*0.99</f>
        <v>492.53924563193124</v>
      </c>
      <c r="F75" s="4">
        <f>F74*(1+inflation)</f>
        <v>87.34763800918729</v>
      </c>
      <c r="G75" s="4">
        <f>E75+F75</f>
        <v>579.8868836411185</v>
      </c>
      <c r="H75" s="4">
        <f>H74-$B75+G75</f>
        <v>-5874.293132698912</v>
      </c>
      <c r="I75" s="4">
        <f>G75/$B$68</f>
        <v>0.06151993248897926</v>
      </c>
      <c r="L75" s="4">
        <f>L74*(1+inflation_buyback)*0.99</f>
        <v>509.8115009006414</v>
      </c>
      <c r="M75" s="4">
        <f>M74-$B75+$L75+$F75</f>
        <v>-5225.022894116023</v>
      </c>
      <c r="N75" s="4">
        <f>L75/$B$68</f>
        <v>0.054085667398752535</v>
      </c>
      <c r="P75" s="4" t="e">
        <f>P74</f>
        <v>#REF!</v>
      </c>
    </row>
    <row r="76" spans="1:16" ht="12.75">
      <c r="A76">
        <v>8</v>
      </c>
      <c r="D76" s="4">
        <f>D75*(1+inflation)</f>
        <v>413.5578743327797</v>
      </c>
      <c r="E76" s="4">
        <f>E75*(1+inflation)*0.99</f>
        <v>514.9202289534462</v>
      </c>
      <c r="F76" s="4">
        <f>F75*(1+inflation)</f>
        <v>92.23910573770179</v>
      </c>
      <c r="G76" s="4">
        <f>E76+F76</f>
        <v>607.159334691148</v>
      </c>
      <c r="H76" s="4">
        <f>H75-$B76+G76</f>
        <v>-5267.133798007764</v>
      </c>
      <c r="I76" s="4">
        <f>G76/$B$68</f>
        <v>0.0644132542638604</v>
      </c>
      <c r="L76" s="4">
        <f>L75*(1+inflation_buyback)*0.99</f>
        <v>504.713385891635</v>
      </c>
      <c r="M76" s="4">
        <f>M75-$B76+$L76+$F76</f>
        <v>-4628.070402486686</v>
      </c>
      <c r="N76" s="4">
        <f>L76/$B$68</f>
        <v>0.05354481072476502</v>
      </c>
      <c r="P76" s="4" t="e">
        <f>P75</f>
        <v>#REF!</v>
      </c>
    </row>
    <row r="77" spans="1:16" ht="12.75">
      <c r="A77">
        <v>9</v>
      </c>
      <c r="D77" s="4">
        <f>D76*(1+inflation)</f>
        <v>436.7171152954154</v>
      </c>
      <c r="E77" s="4">
        <f>E76*(1+inflation)*0.99</f>
        <v>538.3182041570908</v>
      </c>
      <c r="F77" s="4">
        <f>F76*(1+inflation)</f>
        <v>97.4044956590131</v>
      </c>
      <c r="G77" s="4">
        <f>E77+F77</f>
        <v>635.7226998161038</v>
      </c>
      <c r="H77" s="4">
        <f>H76-$B77+G77</f>
        <v>-4631.41109819166</v>
      </c>
      <c r="I77" s="4">
        <f>G77/$B$68</f>
        <v>0.06744352851857668</v>
      </c>
      <c r="L77" s="4">
        <f>L76*(1+inflation_buyback)*0.99</f>
        <v>499.66625203271866</v>
      </c>
      <c r="M77" s="4">
        <f>M76-$B77+$L77+$F77</f>
        <v>-4030.999654794954</v>
      </c>
      <c r="N77" s="4">
        <f>L77/$B$68</f>
        <v>0.05300936261751736</v>
      </c>
      <c r="P77" s="4" t="e">
        <f>P76</f>
        <v>#REF!</v>
      </c>
    </row>
    <row r="78" spans="1:16" ht="12.75">
      <c r="A78">
        <v>10</v>
      </c>
      <c r="D78" s="4">
        <f>D77*(1+inflation)</f>
        <v>461.1732737519587</v>
      </c>
      <c r="E78" s="4">
        <f>E77*(1+inflation)*0.99</f>
        <v>562.779383353989</v>
      </c>
      <c r="F78" s="4">
        <f>F77*(1+inflation)</f>
        <v>102.85914741591783</v>
      </c>
      <c r="G78" s="4">
        <f>E78+F78</f>
        <v>665.6385307699069</v>
      </c>
      <c r="H78" s="4">
        <f>H77-$B78+G78</f>
        <v>-3965.772567421753</v>
      </c>
      <c r="I78" s="4">
        <f>G78/$B$68</f>
        <v>0.07061728525036143</v>
      </c>
      <c r="L78" s="4">
        <f>L77*(1+inflation_buyback)*0.99</f>
        <v>494.6695895123915</v>
      </c>
      <c r="M78" s="4">
        <f>M77-$B78+$L78+$F78</f>
        <v>-3433.4709178666444</v>
      </c>
      <c r="N78" s="4">
        <f>L78/$B$68</f>
        <v>0.05247926899134219</v>
      </c>
      <c r="P78" s="4" t="e">
        <f>P77</f>
        <v>#REF!</v>
      </c>
    </row>
    <row r="79" spans="1:16" ht="12.75">
      <c r="A79">
        <v>11</v>
      </c>
      <c r="D79" s="4">
        <f>D78*(1+inflation)</f>
        <v>486.9989770820684</v>
      </c>
      <c r="E79" s="4">
        <f>E78*(1+inflation)*0.99</f>
        <v>588.3520785335943</v>
      </c>
      <c r="F79" s="4">
        <f>F78*(1+inflation)</f>
        <v>108.61925967120924</v>
      </c>
      <c r="G79" s="4">
        <f>E79+F79</f>
        <v>696.9713382048035</v>
      </c>
      <c r="H79" s="7">
        <f>H78-$B79+G79</f>
        <v>-3268.8012292169497</v>
      </c>
      <c r="I79" s="4">
        <f>G79/$B$68</f>
        <v>0.0739413683646089</v>
      </c>
      <c r="L79" s="4">
        <f>L78*(1+inflation_buyback)*0.99</f>
        <v>489.7228936172676</v>
      </c>
      <c r="M79" s="4">
        <f>M78-$B79+$L79+$F79</f>
        <v>-2835.128764578167</v>
      </c>
      <c r="N79" s="4">
        <f>L79/$B$68</f>
        <v>0.05195447630142877</v>
      </c>
      <c r="O79" t="s">
        <v>86</v>
      </c>
      <c r="P79" s="4" t="e">
        <f>P78</f>
        <v>#REF!</v>
      </c>
    </row>
    <row r="80" spans="1:16" ht="12.75">
      <c r="A80">
        <v>12</v>
      </c>
      <c r="D80" s="4">
        <f>D79*(1+inflation)</f>
        <v>514.2709197986643</v>
      </c>
      <c r="E80" s="4">
        <f>E79*(1+inflation)*0.99</f>
        <v>615.0867969821609</v>
      </c>
      <c r="F80" s="4">
        <f>F79*(1+inflation)</f>
        <v>114.70193821279696</v>
      </c>
      <c r="G80" s="4">
        <f>E80+F80</f>
        <v>729.7887351949578</v>
      </c>
      <c r="H80" s="1">
        <f>H79-$B80+G80</f>
        <v>-2539.012494021992</v>
      </c>
      <c r="I80" s="4">
        <f>G80/$B$68</f>
        <v>0.07742295090122615</v>
      </c>
      <c r="J80" t="s">
        <v>86</v>
      </c>
      <c r="L80" s="4">
        <f>L79*(1+inflation_buyback)*0.99</f>
        <v>484.8256646810949</v>
      </c>
      <c r="M80" s="4">
        <f>M79-$B80+$L80+$F80</f>
        <v>-2235.601161684275</v>
      </c>
      <c r="N80" s="4">
        <f>L80/$B$68</f>
        <v>0.05143493153841448</v>
      </c>
      <c r="P80" s="4" t="e">
        <f>P79</f>
        <v>#REF!</v>
      </c>
    </row>
    <row r="81" spans="1:16" ht="12.75">
      <c r="A81">
        <v>13</v>
      </c>
      <c r="D81" s="4">
        <f>D80*(1+inflation)</f>
        <v>543.0700913073895</v>
      </c>
      <c r="E81" s="4">
        <f>E80*(1+inflation)*0.99</f>
        <v>643.0363410370303</v>
      </c>
      <c r="F81" s="4">
        <f>F80*(1+inflation)</f>
        <v>121.1252467527136</v>
      </c>
      <c r="G81" s="4">
        <f>E81+F81</f>
        <v>764.1615877897439</v>
      </c>
      <c r="H81" s="4">
        <f>H80-$B81+G81</f>
        <v>-1774.8509062322482</v>
      </c>
      <c r="I81" s="4">
        <f>G81/$B$68</f>
        <v>0.08106955100676255</v>
      </c>
      <c r="L81" s="4">
        <f>L80*(1+inflation_buyback)*0.99</f>
        <v>479.97740803428394</v>
      </c>
      <c r="M81" s="4">
        <f>M80-$B81+$L81+$F81</f>
        <v>-1634.4985068972776</v>
      </c>
      <c r="N81" s="4">
        <f>L81/$B$68</f>
        <v>0.050920582223030336</v>
      </c>
      <c r="P81" s="4" t="e">
        <f>P80</f>
        <v>#REF!</v>
      </c>
    </row>
    <row r="82" spans="1:16" ht="12.75">
      <c r="A82">
        <v>14</v>
      </c>
      <c r="D82" s="4">
        <f>D81*(1+inflation)</f>
        <v>573.4820164206033</v>
      </c>
      <c r="E82" s="4">
        <f>E81*(1+inflation)*0.99</f>
        <v>672.255912373753</v>
      </c>
      <c r="F82" s="4">
        <f>F81*(1+inflation)</f>
        <v>127.90826057086556</v>
      </c>
      <c r="G82" s="4">
        <f>E82+F82</f>
        <v>800.1641729446185</v>
      </c>
      <c r="H82" s="4">
        <f>H81-$B82+G82</f>
        <v>-974.6867332876297</v>
      </c>
      <c r="I82" s="4">
        <f>G82/$B$68</f>
        <v>0.08488904868922327</v>
      </c>
      <c r="L82" s="4">
        <f>L81*(1+inflation_buyback)*0.99</f>
        <v>475.1776339539411</v>
      </c>
      <c r="M82" s="4">
        <f>M81-$B82+$L82+$F82</f>
        <v>-1031.412612372471</v>
      </c>
      <c r="N82" s="4">
        <f>L82/$B$68</f>
        <v>0.05041137640080003</v>
      </c>
      <c r="P82" s="4" t="e">
        <f>P81</f>
        <v>#REF!</v>
      </c>
    </row>
    <row r="83" spans="1:16" ht="12.75">
      <c r="A83">
        <v>15</v>
      </c>
      <c r="D83" s="4">
        <f>D82*(1+inflation)</f>
        <v>605.5970093401571</v>
      </c>
      <c r="E83" s="4">
        <f>E82*(1+inflation)*0.99</f>
        <v>702.8032210320163</v>
      </c>
      <c r="F83" s="4">
        <f>F82*(1+inflation)</f>
        <v>135.07112316283406</v>
      </c>
      <c r="G83" s="4">
        <f>E83+F83</f>
        <v>837.8743441948503</v>
      </c>
      <c r="H83" s="7">
        <f>H82-$B83+G83</f>
        <v>-136.81238909277943</v>
      </c>
      <c r="I83" s="4">
        <f>G83/$B$68</f>
        <v>0.08888970339431894</v>
      </c>
      <c r="L83" s="4">
        <f>L82*(1+inflation_buyback)*0.99</f>
        <v>470.4258576144017</v>
      </c>
      <c r="M83" s="4">
        <f>M82-$B83+$L83+$F83</f>
        <v>-425.91563159523514</v>
      </c>
      <c r="N83" s="4">
        <f>L83/$B$68</f>
        <v>0.04990726263679204</v>
      </c>
      <c r="P83" s="4" t="e">
        <f>P82</f>
        <v>#REF!</v>
      </c>
    </row>
    <row r="84" spans="1:15" ht="12.75">
      <c r="A84">
        <v>16</v>
      </c>
      <c r="D84" s="4">
        <f>D83*(1+inflation)</f>
        <v>639.510441863206</v>
      </c>
      <c r="E84" s="4">
        <f>E83*(1+inflation)*0.99</f>
        <v>734.7385993957112</v>
      </c>
      <c r="F84" s="4">
        <f>F83*(1+inflation)</f>
        <v>142.63510605995276</v>
      </c>
      <c r="G84" s="4">
        <f>E84+F84</f>
        <v>877.3737054556639</v>
      </c>
      <c r="H84" s="1">
        <f>H83-$B84+G84</f>
        <v>740.5613163628844</v>
      </c>
      <c r="I84" s="4">
        <f>G84/$B$68</f>
        <v>0.09308017244384298</v>
      </c>
      <c r="J84" t="s">
        <v>87</v>
      </c>
      <c r="L84" s="4">
        <f>L83*(1+inflation_buyback)*0.99</f>
        <v>465.7215990382577</v>
      </c>
      <c r="M84" s="4">
        <f>M83-$B84+$L84+$F84</f>
        <v>182.4410735029753</v>
      </c>
      <c r="N84" s="4">
        <f>L84/$B$68</f>
        <v>0.04940819001042411</v>
      </c>
      <c r="O84" t="s">
        <v>87</v>
      </c>
    </row>
    <row r="85" spans="1:14" ht="12.75">
      <c r="A85">
        <v>17</v>
      </c>
      <c r="D85" s="4">
        <f>D84*(1+inflation)</f>
        <v>675.3230266075456</v>
      </c>
      <c r="E85" s="4">
        <f>E84*(1+inflation)*0.99</f>
        <v>768.1251213522523</v>
      </c>
      <c r="F85" s="4">
        <f>F84*(1+inflation)</f>
        <v>150.6226719993101</v>
      </c>
      <c r="G85" s="4">
        <f>E85+F85</f>
        <v>918.7477933515624</v>
      </c>
      <c r="H85" s="4">
        <f>H84-$B85+G85</f>
        <v>1659.309109714447</v>
      </c>
      <c r="I85" s="4">
        <f>G85/$B$68</f>
        <v>0.09746953037890542</v>
      </c>
      <c r="L85" s="4">
        <f>L84*(1+inflation_buyback)*0.99</f>
        <v>461.06438304787514</v>
      </c>
      <c r="M85" s="4">
        <f>M84-$B85+$L85+$F85</f>
        <v>794.1281285501606</v>
      </c>
      <c r="N85" s="4">
        <f>L85/$B$68</f>
        <v>0.048914108110319876</v>
      </c>
    </row>
    <row r="86" spans="1:17" ht="12.75">
      <c r="A86">
        <v>18</v>
      </c>
      <c r="D86" s="4">
        <f>D85*(1+inflation)</f>
        <v>713.1411160975681</v>
      </c>
      <c r="E86" s="4">
        <f>E85*(1+inflation)*0.99</f>
        <v>803.0287268664988</v>
      </c>
      <c r="F86" s="4">
        <f>F85*(1+inflation)</f>
        <v>159.05754163127148</v>
      </c>
      <c r="G86" s="4">
        <f>E86+F86</f>
        <v>962.0862684977703</v>
      </c>
      <c r="H86" s="4">
        <f>H85-$B86+G86</f>
        <v>2621.395378212217</v>
      </c>
      <c r="I86" s="4">
        <f>G86/$B$68</f>
        <v>0.1020672892528931</v>
      </c>
      <c r="L86" s="4">
        <f>L85*(1+inflation_buyback)*0.99</f>
        <v>456.4537392173964</v>
      </c>
      <c r="M86" s="4">
        <f>M85-$B86+$L86+$F86</f>
        <v>1409.6394093988285</v>
      </c>
      <c r="N86" s="4">
        <f>L86/$B$68</f>
        <v>0.04842496702921668</v>
      </c>
      <c r="Q86" s="1"/>
    </row>
    <row r="87" spans="1:14" ht="12.75">
      <c r="A87">
        <v>19</v>
      </c>
      <c r="D87" s="4">
        <f>D86*(1+inflation)</f>
        <v>753.0770185990319</v>
      </c>
      <c r="E87" s="4">
        <f>E86*(1+inflation)*0.99</f>
        <v>839.5183522153125</v>
      </c>
      <c r="F87" s="4">
        <f>F86*(1+inflation)</f>
        <v>167.9647639626227</v>
      </c>
      <c r="G87" s="4">
        <f>E87+F87</f>
        <v>1007.4831161779351</v>
      </c>
      <c r="H87" s="4">
        <f>H86-$B87+G87</f>
        <v>3628.8784943901524</v>
      </c>
      <c r="I87" s="4">
        <f>G87/$B$68</f>
        <v>0.10688341992127467</v>
      </c>
      <c r="L87" s="4">
        <f>L86*(1+inflation_buyback)*0.99</f>
        <v>451.8892018252224</v>
      </c>
      <c r="M87" s="4">
        <f>M86-$B87+$L87+$F87</f>
        <v>2029.4933751866738</v>
      </c>
      <c r="N87" s="4">
        <f>L87/$B$68</f>
        <v>0.04794071735892451</v>
      </c>
    </row>
    <row r="88" spans="1:14" ht="12.75">
      <c r="A88">
        <v>20</v>
      </c>
      <c r="D88" s="4">
        <f>D87*(1+inflation)</f>
        <v>795.2493316405778</v>
      </c>
      <c r="E88" s="4">
        <f>E87*(1+inflation)*0.99</f>
        <v>877.6660661399764</v>
      </c>
      <c r="F88" s="4">
        <f>F87*(1+inflation)</f>
        <v>177.3707907445296</v>
      </c>
      <c r="G88" s="4">
        <f>E88+F88</f>
        <v>1055.036856884506</v>
      </c>
      <c r="H88" s="4">
        <f>H87-$B88+G88</f>
        <v>4683.915351274658</v>
      </c>
      <c r="I88" s="4">
        <f>G88/$B$68</f>
        <v>0.11192837437773245</v>
      </c>
      <c r="L88" s="4">
        <f>L87*(1+inflation_buyback)*0.99</f>
        <v>447.37030980697017</v>
      </c>
      <c r="M88" s="4">
        <f>M87-$B88+$L88+$F88</f>
        <v>2654.2344757381734</v>
      </c>
      <c r="N88" s="4">
        <f>L88/$B$68</f>
        <v>0.04746131018533526</v>
      </c>
    </row>
    <row r="89" spans="1:14" ht="12.75">
      <c r="A89">
        <v>21</v>
      </c>
      <c r="D89" s="4">
        <f>D88*(1+inflation)</f>
        <v>839.7832942124502</v>
      </c>
      <c r="E89" s="4">
        <f>E88*(1+inflation)*0.99</f>
        <v>917.5472121853769</v>
      </c>
      <c r="F89" s="4">
        <f>F88*(1+inflation)</f>
        <v>187.30355502622325</v>
      </c>
      <c r="G89" s="4">
        <f>E89+F89</f>
        <v>1104.8507672116002</v>
      </c>
      <c r="H89" s="4">
        <f>H88-$B89+G89</f>
        <v>5788.766118486258</v>
      </c>
      <c r="I89" s="4">
        <f>G89/$B$68</f>
        <v>0.11721310918858478</v>
      </c>
      <c r="L89" s="4">
        <f>L88*(1+inflation_buyback)*0.99</f>
        <v>442.8966067089005</v>
      </c>
      <c r="M89" s="4">
        <f>M88-$B89+$L89+$F89</f>
        <v>3284.4346374732972</v>
      </c>
      <c r="N89" s="4">
        <f>L89/$B$68</f>
        <v>0.04698669708348191</v>
      </c>
    </row>
    <row r="90" spans="1:14" ht="12.75">
      <c r="A90">
        <v>22</v>
      </c>
      <c r="D90" s="4">
        <f>D89*(1+inflation)</f>
        <v>886.8111586883474</v>
      </c>
      <c r="E90" s="4">
        <f>E89*(1+inflation)*0.99</f>
        <v>959.2405575070804</v>
      </c>
      <c r="F90" s="4">
        <f>F89*(1+inflation)</f>
        <v>197.79255410769176</v>
      </c>
      <c r="G90" s="4">
        <f>E90+F90</f>
        <v>1157.0331116147722</v>
      </c>
      <c r="H90" s="4">
        <f>H89-$B90+G90</f>
        <v>6945.799230101031</v>
      </c>
      <c r="I90" s="4">
        <f>G90/$B$68</f>
        <v>0.12274911008007344</v>
      </c>
      <c r="L90" s="4">
        <f>L89*(1+inflation_buyback)*0.99</f>
        <v>438.4676406418115</v>
      </c>
      <c r="M90" s="4">
        <f>M89-$B90+$L90+$F90</f>
        <v>3920.6948322228004</v>
      </c>
      <c r="N90" s="4">
        <f>L90/$B$68</f>
        <v>0.046516830112647095</v>
      </c>
    </row>
    <row r="91" spans="1:14" ht="12.75">
      <c r="A91">
        <v>23</v>
      </c>
      <c r="D91" s="4">
        <f>D90*(1+inflation)</f>
        <v>936.4725835748949</v>
      </c>
      <c r="E91" s="4">
        <f>E90*(1+inflation)*0.99</f>
        <v>1002.8284484402022</v>
      </c>
      <c r="F91" s="4">
        <f>F90*(1+inflation)</f>
        <v>208.8689371377225</v>
      </c>
      <c r="G91" s="4">
        <f>E91+F91</f>
        <v>1211.6973855779247</v>
      </c>
      <c r="H91" s="4">
        <f>H90-$B91+G91</f>
        <v>8157.496615678956</v>
      </c>
      <c r="I91" s="4">
        <f>G91/$B$68</f>
        <v>0.12854841773582906</v>
      </c>
      <c r="L91" s="4">
        <f>L90*(1+inflation_buyback)*0.99</f>
        <v>434.0829642353934</v>
      </c>
      <c r="M91" s="4">
        <f>M90-$B91+$L91+$F91</f>
        <v>4563.646733595916</v>
      </c>
      <c r="N91" s="4">
        <f>L91/$B$68</f>
        <v>0.04605166181152062</v>
      </c>
    </row>
    <row r="92" spans="1:14" ht="12.75">
      <c r="A92">
        <v>24</v>
      </c>
      <c r="D92" s="4">
        <f>D91*(1+inflation)</f>
        <v>988.915048255089</v>
      </c>
      <c r="E92" s="4">
        <f>E91*(1+inflation)*0.99</f>
        <v>1048.396973137325</v>
      </c>
      <c r="F92" s="4">
        <f>F91*(1+inflation)</f>
        <v>220.56559761743497</v>
      </c>
      <c r="G92" s="4">
        <f>E92+F92</f>
        <v>1268.96257075476</v>
      </c>
      <c r="H92" s="4">
        <f>H91-$B92+G92</f>
        <v>9426.459186433716</v>
      </c>
      <c r="I92" s="4">
        <f>G92/$B$68</f>
        <v>0.13462365486471037</v>
      </c>
      <c r="L92" s="4">
        <f>L91*(1+inflation_buyback)*0.99</f>
        <v>429.74213459303945</v>
      </c>
      <c r="M92" s="4">
        <f>M91-$B92+$L92+$F92</f>
        <v>5213.9544658063905</v>
      </c>
      <c r="N92" s="4">
        <f>L92/$B$68</f>
        <v>0.045591145193405416</v>
      </c>
    </row>
    <row r="93" spans="1:15" ht="12.75">
      <c r="A93">
        <v>25</v>
      </c>
      <c r="D93" s="4">
        <f>D92*(1+inflation)</f>
        <v>1044.294290957374</v>
      </c>
      <c r="E93" s="4">
        <f>E92*(1+inflation)*0.99</f>
        <v>1096.036131596685</v>
      </c>
      <c r="F93" s="4">
        <f>F92*(1+inflation)</f>
        <v>232.91727108401133</v>
      </c>
      <c r="G93" s="4">
        <f>E93+F93</f>
        <v>1328.9534026806964</v>
      </c>
      <c r="H93" s="4">
        <f>H92-$B93+G93</f>
        <v>10755.412589114412</v>
      </c>
      <c r="I93" s="4">
        <f>G93/$B$68</f>
        <v>0.1409880546022381</v>
      </c>
      <c r="J93" t="s">
        <v>88</v>
      </c>
      <c r="L93" s="4">
        <f>L92*(1+inflation_buyback)*0.99</f>
        <v>425.44471324710906</v>
      </c>
      <c r="M93" s="4">
        <f>M92-$B93+$L93+$F93</f>
        <v>5872.31645013751</v>
      </c>
      <c r="N93" s="4">
        <f>L93/$B$68</f>
        <v>0.04513523374147136</v>
      </c>
      <c r="O93" t="s">
        <v>88</v>
      </c>
    </row>
    <row r="94" spans="1:15" ht="12.75">
      <c r="A94">
        <v>26</v>
      </c>
      <c r="B94">
        <v>3000</v>
      </c>
      <c r="D94" s="4">
        <f>D93*(1+inflation)</f>
        <v>1102.774771250987</v>
      </c>
      <c r="E94" s="4">
        <f>E93*(1+inflation)*0.99</f>
        <v>1145.8400134164385</v>
      </c>
      <c r="F94" s="4">
        <f>F93*(1+inflation)</f>
        <v>245.96063826471598</v>
      </c>
      <c r="G94" s="4">
        <f>E94+F94</f>
        <v>1391.8006516811545</v>
      </c>
      <c r="H94" s="4">
        <f>H93-$B94+G94</f>
        <v>9147.213240795567</v>
      </c>
      <c r="I94" s="4">
        <f>G94/$B$68</f>
        <v>0.1476554903120257</v>
      </c>
      <c r="J94" t="s">
        <v>89</v>
      </c>
      <c r="L94" s="4">
        <f>L93*(1+inflation_buyback)*0.99</f>
        <v>421.19026611463795</v>
      </c>
      <c r="M94" s="4">
        <f>M93-$B94+$L94+$F94</f>
        <v>3539.4673545168644</v>
      </c>
      <c r="N94" s="4">
        <f>L94/$B$68</f>
        <v>0.044683881404056644</v>
      </c>
      <c r="O94" t="s">
        <v>89</v>
      </c>
    </row>
    <row r="95" spans="1:14" ht="12.75">
      <c r="A95">
        <v>27</v>
      </c>
      <c r="D95" s="4">
        <f>D94*(1+inflation)</f>
        <v>1164.5301584410422</v>
      </c>
      <c r="E95" s="4">
        <f>E94*(1+inflation)*0.99</f>
        <v>1197.9069836260817</v>
      </c>
      <c r="F95" s="4">
        <f>F94*(1+inflation)</f>
        <v>259.7344340075401</v>
      </c>
      <c r="G95" s="4">
        <f>E95+F95</f>
        <v>1457.6414176336218</v>
      </c>
      <c r="H95" s="4">
        <f>H94-$B95+G95</f>
        <v>10604.854658429189</v>
      </c>
      <c r="I95" s="4">
        <f>G95/$B$68</f>
        <v>0.1546405068569512</v>
      </c>
      <c r="L95" s="4">
        <f>L94*(1+inflation_buyback)*0.99</f>
        <v>416.97836345349157</v>
      </c>
      <c r="M95" s="4">
        <f>M94-$B95+$L95+$F95</f>
        <v>4216.180151977896</v>
      </c>
      <c r="N95" s="4">
        <f>L95/$B$68</f>
        <v>0.04423704259001608</v>
      </c>
    </row>
    <row r="96" spans="1:14" ht="12.75" customHeight="1">
      <c r="A96">
        <v>28</v>
      </c>
      <c r="D96" s="4">
        <f>D95*(1+inflation)</f>
        <v>1229.7438473137406</v>
      </c>
      <c r="E96" s="4">
        <f>E95*(1+inflation)*0.99</f>
        <v>1252.3398769620508</v>
      </c>
      <c r="F96" s="4">
        <f>F95*(1+inflation)</f>
        <v>274.2795623119623</v>
      </c>
      <c r="G96" s="4">
        <f>E96+F96</f>
        <v>1526.619439274013</v>
      </c>
      <c r="H96" s="4">
        <f>H95-$B96+G96</f>
        <v>12131.474097703202</v>
      </c>
      <c r="I96" s="4">
        <f>G96/$B$68</f>
        <v>0.16195835341332623</v>
      </c>
      <c r="L96" s="4">
        <f>L95*(1+inflation_buyback)*0.99</f>
        <v>412.8085798189567</v>
      </c>
      <c r="M96" s="4">
        <f>M95-$B96+$L96+$F96</f>
        <v>4903.268294108815</v>
      </c>
      <c r="N96" s="4">
        <f>L96/$B$68</f>
        <v>0.04379467216411592</v>
      </c>
    </row>
    <row r="97" spans="1:14" ht="12.75">
      <c r="A97">
        <v>29</v>
      </c>
      <c r="D97" s="4">
        <f>D96*(1+inflation)</f>
        <v>1298.60950276331</v>
      </c>
      <c r="E97" s="4">
        <f>E96*(1+inflation)*0.99</f>
        <v>1309.2462009712062</v>
      </c>
      <c r="F97" s="4">
        <f>F96*(1+inflation)</f>
        <v>289.6392178014322</v>
      </c>
      <c r="G97" s="4">
        <f>E97+F97</f>
        <v>1598.8854187726383</v>
      </c>
      <c r="H97" s="4">
        <f>H96-$B97+G97</f>
        <v>13730.35951647584</v>
      </c>
      <c r="I97" s="4">
        <f>G97/$B$68</f>
        <v>0.1696250179050115</v>
      </c>
      <c r="L97" s="4">
        <f>L96*(1+inflation_buyback)*0.99</f>
        <v>408.6804940207671</v>
      </c>
      <c r="M97" s="4">
        <f>M96-$B97+$L97+$F97</f>
        <v>5601.588005931015</v>
      </c>
      <c r="N97" s="4">
        <f>L97/$B$68</f>
        <v>0.043356725442474764</v>
      </c>
    </row>
    <row r="98" spans="1:14" ht="12.75">
      <c r="A98">
        <v>30</v>
      </c>
      <c r="D98" s="4">
        <f>D97*(1+inflation)</f>
        <v>1371.3316349180554</v>
      </c>
      <c r="E98" s="4">
        <f>E97*(1+inflation)*0.99</f>
        <v>1368.738348343338</v>
      </c>
      <c r="F98" s="4">
        <f>F97*(1+inflation)</f>
        <v>305.85901399831243</v>
      </c>
      <c r="G98" s="4">
        <f>E98+F98</f>
        <v>1674.5973623416503</v>
      </c>
      <c r="H98" s="4">
        <f>H97-$B98+G98</f>
        <v>15404.956878817491</v>
      </c>
      <c r="I98" s="4">
        <f>G98/$B$68</f>
        <v>0.17765726313830366</v>
      </c>
      <c r="L98" s="4">
        <f>L97*(1+inflation_buyback)*0.99</f>
        <v>404.59368908055944</v>
      </c>
      <c r="M98" s="4">
        <f>M97-$B98+$L98+$F98</f>
        <v>6312.040709009887</v>
      </c>
      <c r="N98" s="4">
        <f>L98/$B$68</f>
        <v>0.042923158188050016</v>
      </c>
    </row>
    <row r="99" spans="1:17" ht="12.75">
      <c r="A99">
        <v>31</v>
      </c>
      <c r="D99" s="4">
        <f>D98*(1+inflation)</f>
        <v>1448.1262064734667</v>
      </c>
      <c r="E99" s="4">
        <f>E98*(1+inflation)*0.99</f>
        <v>1430.9338188920594</v>
      </c>
      <c r="F99" s="4">
        <f>F98*(1+inflation)</f>
        <v>322.9871187822179</v>
      </c>
      <c r="G99" s="4">
        <f>E99+F99</f>
        <v>1753.9209376742774</v>
      </c>
      <c r="H99" s="4">
        <f>H98-$B99+G99</f>
        <v>17158.877816491768</v>
      </c>
      <c r="I99" s="4">
        <f>G99/$B$68</f>
        <v>0.1860726647224992</v>
      </c>
      <c r="L99" s="4">
        <f>L98*(1+inflation_buyback)*0.99</f>
        <v>400.54775218975385</v>
      </c>
      <c r="M99" s="4">
        <f>M98-$B99+$L99+$F99</f>
        <v>7035.575579981859</v>
      </c>
      <c r="N99" s="4">
        <f>L99/$B$68</f>
        <v>0.04249392660616952</v>
      </c>
      <c r="Q99" s="1"/>
    </row>
    <row r="100" spans="1:14" ht="12.75">
      <c r="A100">
        <v>32</v>
      </c>
      <c r="D100" s="4">
        <f>D99*(1+inflation)</f>
        <v>1529.221274035981</v>
      </c>
      <c r="E100" s="4">
        <f>E99*(1+inflation)*0.99</f>
        <v>1495.9554516225146</v>
      </c>
      <c r="F100" s="4">
        <f>F99*(1+inflation)</f>
        <v>341.07439743402216</v>
      </c>
      <c r="G100" s="4">
        <f>E100+F100</f>
        <v>1837.0298490565367</v>
      </c>
      <c r="H100" s="4">
        <f>H99-$B100+G100</f>
        <v>18995.907665548304</v>
      </c>
      <c r="I100" s="4">
        <f>G100/$B$68</f>
        <v>0.19488965086532323</v>
      </c>
      <c r="L100" s="4">
        <f>L99*(1+inflation_buyback)*0.99</f>
        <v>396.5422746678563</v>
      </c>
      <c r="M100" s="4">
        <f>M99-$B100+$L100+$F100</f>
        <v>7773.192252083737</v>
      </c>
      <c r="N100" s="4">
        <f>L100/$B$68</f>
        <v>0.04206898734010782</v>
      </c>
    </row>
    <row r="101" spans="1:14" ht="12.75">
      <c r="A101">
        <v>33</v>
      </c>
      <c r="D101" s="4">
        <f>D100*(1+inflation)</f>
        <v>1614.857665381996</v>
      </c>
      <c r="E101" s="4">
        <f>E100*(1+inflation)*0.99</f>
        <v>1563.9316673442418</v>
      </c>
      <c r="F101" s="4">
        <f>F100*(1+inflation)</f>
        <v>360.17456369032743</v>
      </c>
      <c r="G101" s="4">
        <f>E101+F101</f>
        <v>1924.1062310345692</v>
      </c>
      <c r="H101" s="4">
        <f>H100-$B101+G101</f>
        <v>20920.013896582874</v>
      </c>
      <c r="I101" s="4">
        <f>G101/$B$68</f>
        <v>0.2041275441369159</v>
      </c>
      <c r="L101" s="4">
        <f>L100*(1+inflation_buyback)*0.99</f>
        <v>392.57685192117776</v>
      </c>
      <c r="M101" s="4">
        <f>M100-$B101+$L101+$F101</f>
        <v>8525.943667695243</v>
      </c>
      <c r="N101" s="4">
        <f>L101/$B$68</f>
        <v>0.041648297466706743</v>
      </c>
    </row>
    <row r="102" spans="1:14" ht="12.75">
      <c r="A102">
        <v>34</v>
      </c>
      <c r="D102" s="4">
        <f>D101*(1+inflation)</f>
        <v>1705.2896946433877</v>
      </c>
      <c r="E102" s="4">
        <f>E101*(1+inflation)*0.99</f>
        <v>1634.9967223083643</v>
      </c>
      <c r="F102" s="4">
        <f>F101*(1+inflation)</f>
        <v>380.3443392569858</v>
      </c>
      <c r="G102" s="4">
        <f>E102+F102</f>
        <v>2015.3410615653502</v>
      </c>
      <c r="H102" s="4">
        <f>H101-$B102+G102</f>
        <v>22935.354958148222</v>
      </c>
      <c r="I102" s="4">
        <f>G102/$B$68</f>
        <v>0.213806605300801</v>
      </c>
      <c r="L102" s="4">
        <f>L101*(1+inflation_buyback)*0.99</f>
        <v>388.651083401966</v>
      </c>
      <c r="M102" s="4">
        <f>M101-$B102+$L102+$F102</f>
        <v>9294.939090354195</v>
      </c>
      <c r="N102" s="4">
        <f>L102/$B$68</f>
        <v>0.04123181449203968</v>
      </c>
    </row>
    <row r="103" spans="1:14" ht="12.75">
      <c r="A103">
        <v>35</v>
      </c>
      <c r="D103" s="4">
        <f>D102*(1+inflation)</f>
        <v>1800.7859175434176</v>
      </c>
      <c r="E103" s="4">
        <f>E102*(1+inflation)*0.99</f>
        <v>1709.2909733700565</v>
      </c>
      <c r="F103" s="4">
        <f>F102*(1+inflation)</f>
        <v>401.643622255377</v>
      </c>
      <c r="G103" s="4">
        <f>E103+F103</f>
        <v>2110.9345956254333</v>
      </c>
      <c r="H103" s="4">
        <f>H102-$B103+G103</f>
        <v>25046.289553773655</v>
      </c>
      <c r="I103" s="4">
        <f>G103/$B$68</f>
        <v>0.223948079315238</v>
      </c>
      <c r="L103" s="4">
        <f>L102*(1+inflation_buyback)*0.99</f>
        <v>384.76457256794635</v>
      </c>
      <c r="M103" s="4">
        <f>M102-$B103+$L103+$F103</f>
        <v>10081.347285177519</v>
      </c>
      <c r="N103" s="4">
        <f>L103/$B$68</f>
        <v>0.04081949634711928</v>
      </c>
    </row>
    <row r="104" spans="1:14" ht="12.75">
      <c r="A104">
        <v>36</v>
      </c>
      <c r="D104" s="4">
        <f>D103*(1+inflation)</f>
        <v>1901.629928925849</v>
      </c>
      <c r="E104" s="4">
        <f>E103*(1+inflation)*0.99</f>
        <v>1786.961155199992</v>
      </c>
      <c r="F104" s="4">
        <f>F103*(1+inflation)</f>
        <v>424.13566510167817</v>
      </c>
      <c r="G104" s="4">
        <f>E104+F104</f>
        <v>2211.09682030167</v>
      </c>
      <c r="H104" s="4">
        <f>H103-$B104+G104</f>
        <v>27257.386374075326</v>
      </c>
      <c r="I104" s="4">
        <f>G104/$B$68</f>
        <v>0.2345742436135869</v>
      </c>
      <c r="L104" s="4">
        <f>L103*(1+inflation_buyback)*0.99</f>
        <v>380.9169268422669</v>
      </c>
      <c r="M104" s="4">
        <f>M103-$B104+$L104+$F104</f>
        <v>10886.399877121463</v>
      </c>
      <c r="N104" s="4">
        <f>L104/$B$68</f>
        <v>0.04041130138364809</v>
      </c>
    </row>
    <row r="105" spans="1:14" ht="12.75">
      <c r="A105">
        <v>37</v>
      </c>
      <c r="D105" s="4">
        <f>D104*(1+inflation)</f>
        <v>2008.1212049456967</v>
      </c>
      <c r="E105" s="4">
        <f>E104*(1+inflation)*0.99</f>
        <v>1868.1606700922796</v>
      </c>
      <c r="F105" s="4">
        <f>F104*(1+inflation)</f>
        <v>447.88726234737214</v>
      </c>
      <c r="G105" s="4">
        <f>E105+F105</f>
        <v>2316.047932439652</v>
      </c>
      <c r="H105" s="4">
        <f>H104-$B105+G105</f>
        <v>29573.434306514977</v>
      </c>
      <c r="I105" s="4">
        <f>G105/$B$68</f>
        <v>0.24570845877781158</v>
      </c>
      <c r="L105" s="4">
        <f>L104*(1+inflation_buyback)*0.99</f>
        <v>377.1077575738442</v>
      </c>
      <c r="M105" s="4">
        <f>M104-$B105+$L105+$F105</f>
        <v>11711.394897042679</v>
      </c>
      <c r="N105" s="4">
        <f>L105/$B$68</f>
        <v>0.040007188369811604</v>
      </c>
    </row>
    <row r="106" spans="1:14" ht="12.75">
      <c r="A106">
        <v>38</v>
      </c>
      <c r="D106" s="4">
        <f>D105*(1+inflation)</f>
        <v>2120.575992422656</v>
      </c>
      <c r="E106" s="4">
        <f>E105*(1+inflation)*0.99</f>
        <v>1953.049890941273</v>
      </c>
      <c r="F106" s="4">
        <f>F105*(1+inflation)</f>
        <v>472.96894903882503</v>
      </c>
      <c r="G106" s="4">
        <f>E106+F106</f>
        <v>2426.018839980098</v>
      </c>
      <c r="H106" s="4">
        <f>H105-$B106+G106</f>
        <v>31999.453146495074</v>
      </c>
      <c r="I106" s="4">
        <f>G106/$B$68</f>
        <v>0.2573752217250263</v>
      </c>
      <c r="L106" s="4">
        <f>L105*(1+inflation_buyback)*0.99</f>
        <v>373.33667999810575</v>
      </c>
      <c r="M106" s="4">
        <f>M105-$B106+$L106+$F106</f>
        <v>12557.700526079609</v>
      </c>
      <c r="N106" s="4">
        <f>L106/$B$68</f>
        <v>0.03960711648611349</v>
      </c>
    </row>
    <row r="107" spans="1:14" ht="12.75">
      <c r="A107">
        <v>39</v>
      </c>
      <c r="D107" s="4">
        <f>D106*(1+inflation)</f>
        <v>2239.3282479983245</v>
      </c>
      <c r="E107" s="4">
        <f>E106*(1+inflation)*0.99</f>
        <v>2041.7964779856443</v>
      </c>
      <c r="F107" s="4">
        <f>F106*(1+inflation)</f>
        <v>499.45521018499926</v>
      </c>
      <c r="G107" s="4">
        <f>E107+F107</f>
        <v>2541.2516881706433</v>
      </c>
      <c r="H107" s="4">
        <f>H106-$B107+G107</f>
        <v>34540.70483466572</v>
      </c>
      <c r="I107" s="4">
        <f>G107/$B$68</f>
        <v>0.2696002215330621</v>
      </c>
      <c r="L107" s="4">
        <f>L106*(1+inflation_buyback)*0.99</f>
        <v>369.6033131981247</v>
      </c>
      <c r="M107" s="4">
        <f>M106-$B107+$L107+$F107</f>
        <v>13426.759049462731</v>
      </c>
      <c r="N107" s="4">
        <f>L107/$B$68</f>
        <v>0.03921104532125235</v>
      </c>
    </row>
    <row r="108" spans="1:14" ht="12.75">
      <c r="A108">
        <v>40</v>
      </c>
      <c r="D108" s="4">
        <f>D107*(1+inflation)</f>
        <v>2364.730629886231</v>
      </c>
      <c r="E108" s="4">
        <f>E107*(1+inflation)*0.99</f>
        <v>2134.575709945312</v>
      </c>
      <c r="F108" s="4">
        <f>F107*(1+inflation)</f>
        <v>527.4247019553593</v>
      </c>
      <c r="G108" s="4">
        <f>E108+F108</f>
        <v>2662.0004119006717</v>
      </c>
      <c r="H108" s="4">
        <f>H107-$B108+G108</f>
        <v>37202.70524656639</v>
      </c>
      <c r="I108" s="4">
        <f>G108/$B$68</f>
        <v>0.2824103980374148</v>
      </c>
      <c r="L108" s="4">
        <f>L107*(1+inflation_buyback)*0.99</f>
        <v>365.9072800661434</v>
      </c>
      <c r="M108" s="4">
        <f>M107-$B108+$L108+$F108</f>
        <v>14320.091031484233</v>
      </c>
      <c r="N108" s="4">
        <f>L108/$B$68</f>
        <v>0.03881893486803983</v>
      </c>
    </row>
    <row r="109" spans="1:12" ht="12.75">
      <c r="A109" t="s">
        <v>90</v>
      </c>
      <c r="D109" s="4">
        <f>SUM(D$69:D84)</f>
        <v>7016.201903706164</v>
      </c>
      <c r="E109" s="4">
        <f>SUM(E$69:E84)</f>
        <v>8601.681938072394</v>
      </c>
      <c r="F109" s="4">
        <f>SUM(F$69:F84)</f>
        <v>1564.8793782904909</v>
      </c>
      <c r="G109" s="4">
        <f>SUM(G$69:G84)</f>
        <v>10166.561316362884</v>
      </c>
      <c r="K109" t="s">
        <v>91</v>
      </c>
      <c r="L109" s="4">
        <f>SUM(L69:L84)</f>
        <v>8043.561695212484</v>
      </c>
    </row>
    <row r="111" ht="12.75">
      <c r="M111" s="7"/>
    </row>
    <row r="112" spans="2:13" ht="12.75">
      <c r="B112" t="s">
        <v>92</v>
      </c>
      <c r="D112" s="10">
        <f>AVERAGE(I69:I98)</f>
        <v>0.0984191133701729</v>
      </c>
      <c r="M112" s="7"/>
    </row>
    <row r="113" ht="12.75">
      <c r="M113" s="7"/>
    </row>
    <row r="114" ht="12.75">
      <c r="M114" s="7"/>
    </row>
    <row r="115" ht="12.75">
      <c r="M115" s="7"/>
    </row>
    <row r="116" ht="12.75">
      <c r="M116" s="7"/>
    </row>
    <row r="117" ht="12.75">
      <c r="M117" s="7"/>
    </row>
    <row r="118" ht="12.75">
      <c r="M118" s="7"/>
    </row>
    <row r="119" ht="12.75">
      <c r="M119" s="7"/>
    </row>
    <row r="120" ht="12.75">
      <c r="M120" s="7"/>
    </row>
    <row r="121" ht="12.75">
      <c r="M121" s="7"/>
    </row>
    <row r="122" ht="12.75">
      <c r="M122" s="7"/>
    </row>
    <row r="123" ht="12.75">
      <c r="M123" s="7"/>
    </row>
    <row r="124" ht="12.75">
      <c r="M124" s="7"/>
    </row>
    <row r="125" ht="12.75">
      <c r="M125" s="7"/>
    </row>
    <row r="126" ht="12.75">
      <c r="M126" s="7"/>
    </row>
    <row r="127" ht="12.75">
      <c r="M127" s="7"/>
    </row>
    <row r="128" ht="12.75">
      <c r="M128" s="7"/>
    </row>
    <row r="129" spans="9:13" ht="12.75">
      <c r="I129" s="11"/>
      <c r="M129" s="7"/>
    </row>
    <row r="130" spans="1:13" ht="12.75">
      <c r="A130" s="1" t="s">
        <v>93</v>
      </c>
      <c r="I130" s="11"/>
      <c r="M130" s="7"/>
    </row>
    <row r="131" spans="1:13" ht="12.75">
      <c r="A131" t="s">
        <v>94</v>
      </c>
      <c r="M131" s="7"/>
    </row>
    <row r="132" spans="1:13" ht="12.75">
      <c r="A132" t="s">
        <v>95</v>
      </c>
      <c r="M132" s="7"/>
    </row>
    <row r="134" spans="2:9" ht="12.75">
      <c r="B134" s="3" t="s">
        <v>96</v>
      </c>
      <c r="C134" s="3" t="s">
        <v>97</v>
      </c>
      <c r="D134" s="3" t="s">
        <v>98</v>
      </c>
      <c r="E134" s="3" t="s">
        <v>99</v>
      </c>
      <c r="F134" s="3" t="s">
        <v>100</v>
      </c>
      <c r="G134" s="3" t="s">
        <v>101</v>
      </c>
      <c r="H134" s="3" t="s">
        <v>102</v>
      </c>
      <c r="I134" s="3" t="s">
        <v>103</v>
      </c>
    </row>
    <row r="135" spans="1:9" ht="12.75">
      <c r="A135" t="s">
        <v>104</v>
      </c>
      <c r="B135" s="3">
        <f>(3/4)*74</f>
        <v>55.5</v>
      </c>
      <c r="C135" s="3">
        <v>400</v>
      </c>
      <c r="D135" s="3">
        <f>133/4</f>
        <v>33.25</v>
      </c>
      <c r="E135" s="3">
        <f>320-50</f>
        <v>270</v>
      </c>
      <c r="F135" s="3">
        <f>(387/12)*conv_kWhPm_W</f>
        <v>44.14784394250513</v>
      </c>
      <c r="G135" s="3">
        <v>29.3</v>
      </c>
      <c r="H135" s="3">
        <v>60</v>
      </c>
      <c r="I135" s="3">
        <v>25</v>
      </c>
    </row>
    <row r="137" spans="2:6" ht="12.75">
      <c r="B137" t="s">
        <v>105</v>
      </c>
      <c r="C137" t="s">
        <v>106</v>
      </c>
      <c r="D137" t="s">
        <v>107</v>
      </c>
      <c r="F137" t="s">
        <v>108</v>
      </c>
    </row>
    <row r="138" spans="1:6" ht="12.75">
      <c r="A138" t="s">
        <v>6</v>
      </c>
      <c r="B138" s="4">
        <f>D49*conv_kWhPm_W/4</f>
        <v>213.21013004791237</v>
      </c>
      <c r="C138" s="3">
        <f>fridge+phantom+freezer+dehumid</f>
        <v>188.94784394250513</v>
      </c>
      <c r="D138" s="3">
        <f>fridge+phantom</f>
        <v>104.14784394250513</v>
      </c>
      <c r="F138" s="4">
        <f>B138*24</f>
        <v>5117.043121149897</v>
      </c>
    </row>
    <row r="139" spans="1:6" ht="12.75">
      <c r="A139" t="s">
        <v>7</v>
      </c>
      <c r="B139" s="4">
        <f>D50*conv_kWhPm_W/4</f>
        <v>281.6563997262149</v>
      </c>
      <c r="C139" s="3">
        <f>fridge+phantom+furn_low+freezer</f>
        <v>166.69784394250513</v>
      </c>
      <c r="D139" s="3">
        <f>fridge+phantom+furn_low</f>
        <v>137.39784394250512</v>
      </c>
      <c r="F139" s="4">
        <f>B139*24</f>
        <v>6759.753593429157</v>
      </c>
    </row>
    <row r="140" spans="1:6" ht="12.75">
      <c r="A140" t="s">
        <v>109</v>
      </c>
      <c r="B140" s="4">
        <f>D51*conv_kWhPm_W/4</f>
        <v>201.23203285420945</v>
      </c>
      <c r="C140" s="3">
        <f>fridge+phantom+16+freezer</f>
        <v>149.44784394250513</v>
      </c>
      <c r="D140" s="3">
        <f>fridge+phantom+16</f>
        <v>120.14784394250513</v>
      </c>
      <c r="F140" s="4">
        <f>B140*24</f>
        <v>4829.568788501027</v>
      </c>
    </row>
    <row r="141" spans="1:7" ht="12.75">
      <c r="A141" t="s">
        <v>54</v>
      </c>
      <c r="F141" s="4">
        <f>SUM(F138:F140)</f>
        <v>16706.36550308008</v>
      </c>
      <c r="G141" t="s">
        <v>110</v>
      </c>
    </row>
    <row r="142" spans="1:7" ht="12.75">
      <c r="A142" t="s">
        <v>111</v>
      </c>
      <c r="F142" s="4">
        <f>B169+D169+F169</f>
        <v>16706.3280971937</v>
      </c>
      <c r="G142" t="s">
        <v>112</v>
      </c>
    </row>
    <row r="143" ht="12.75">
      <c r="A143" s="1" t="s">
        <v>113</v>
      </c>
    </row>
    <row r="144" spans="1:9" ht="12.75">
      <c r="A144" t="s">
        <v>114</v>
      </c>
      <c r="B144" t="s">
        <v>115</v>
      </c>
      <c r="C144" t="s">
        <v>116</v>
      </c>
      <c r="D144" t="s">
        <v>117</v>
      </c>
      <c r="E144" t="s">
        <v>118</v>
      </c>
      <c r="F144" t="s">
        <v>119</v>
      </c>
      <c r="G144" t="s">
        <v>120</v>
      </c>
      <c r="H144" t="s">
        <v>121</v>
      </c>
      <c r="I144" t="s">
        <v>122</v>
      </c>
    </row>
    <row r="145" spans="1:9" ht="12.75">
      <c r="A145">
        <v>0</v>
      </c>
      <c r="B145" s="3">
        <f>base_summer</f>
        <v>188.94784394250513</v>
      </c>
      <c r="C145" s="3">
        <f>base_summer_tou+(dehumid+freezer)*(24/13)</f>
        <v>260.7016900963513</v>
      </c>
      <c r="D145" s="3">
        <f>base_winter</f>
        <v>166.69784394250513</v>
      </c>
      <c r="E145" s="3">
        <f>base_winter_tou+freezer*(24/13)</f>
        <v>191.49015163481283</v>
      </c>
      <c r="F145" s="3">
        <f>base_spring_fall</f>
        <v>149.44784394250513</v>
      </c>
      <c r="G145" s="3">
        <f>base_spring_fall_tou+freezer*(24/13)</f>
        <v>174.24015163481283</v>
      </c>
      <c r="H145" s="4">
        <f>5000/24</f>
        <v>208.33333333333334</v>
      </c>
      <c r="I145" s="4">
        <f>5000/24</f>
        <v>208.33333333333334</v>
      </c>
    </row>
    <row r="146" spans="1:9" ht="12.75">
      <c r="A146">
        <v>1</v>
      </c>
      <c r="B146" s="3">
        <f>base_summer</f>
        <v>188.94784394250513</v>
      </c>
      <c r="C146" s="3">
        <f>base_summer_tou+(dehumid+freezer)*(24/13)</f>
        <v>260.7016900963513</v>
      </c>
      <c r="D146" s="3">
        <f>base_winter</f>
        <v>166.69784394250513</v>
      </c>
      <c r="E146" s="3">
        <f>base_winter_tou+freezer*(24/13)</f>
        <v>191.49015163481283</v>
      </c>
      <c r="F146" s="3">
        <f>base_spring_fall</f>
        <v>149.44784394250513</v>
      </c>
      <c r="G146" s="3">
        <f>base_spring_fall_tou+freezer*(24/13)</f>
        <v>174.24015163481283</v>
      </c>
      <c r="H146" s="4">
        <f>5000/24</f>
        <v>208.33333333333334</v>
      </c>
      <c r="I146" s="4">
        <f>5000/24</f>
        <v>208.33333333333334</v>
      </c>
    </row>
    <row r="147" spans="1:9" ht="12.75">
      <c r="A147">
        <v>2</v>
      </c>
      <c r="B147" s="3">
        <f>base_summer</f>
        <v>188.94784394250513</v>
      </c>
      <c r="C147" s="3">
        <f>base_summer_tou+(dehumid+freezer)*(24/13)</f>
        <v>260.7016900963513</v>
      </c>
      <c r="D147" s="3">
        <f>base_winter</f>
        <v>166.69784394250513</v>
      </c>
      <c r="E147" s="3">
        <f>base_winter_tou+freezer*(24/13)</f>
        <v>191.49015163481283</v>
      </c>
      <c r="F147" s="3">
        <f>base_spring_fall</f>
        <v>149.44784394250513</v>
      </c>
      <c r="G147" s="3">
        <f>base_spring_fall_tou+freezer*(24/13)</f>
        <v>174.24015163481283</v>
      </c>
      <c r="H147" s="4">
        <f>5000/24</f>
        <v>208.33333333333334</v>
      </c>
      <c r="I147" s="4">
        <f>5000/24</f>
        <v>208.33333333333334</v>
      </c>
    </row>
    <row r="148" spans="1:9" ht="12.75">
      <c r="A148">
        <v>3</v>
      </c>
      <c r="B148" s="3">
        <f>base_summer</f>
        <v>188.94784394250513</v>
      </c>
      <c r="C148" s="3">
        <f>base_summer_tou+(dehumid+freezer)*(24/13)</f>
        <v>260.7016900963513</v>
      </c>
      <c r="D148" s="3">
        <f>base_winter</f>
        <v>166.69784394250513</v>
      </c>
      <c r="E148" s="3">
        <f>base_winter_tou+freezer*(24/13)</f>
        <v>191.49015163481283</v>
      </c>
      <c r="F148" s="3">
        <f>base_spring_fall</f>
        <v>149.44784394250513</v>
      </c>
      <c r="G148" s="3">
        <f>base_spring_fall_tou+freezer*(24/13)</f>
        <v>174.24015163481283</v>
      </c>
      <c r="H148" s="4">
        <f>5000/24</f>
        <v>208.33333333333334</v>
      </c>
      <c r="I148" s="4">
        <f>5000/24</f>
        <v>208.33333333333334</v>
      </c>
    </row>
    <row r="149" spans="1:9" ht="12.75">
      <c r="A149">
        <v>4</v>
      </c>
      <c r="B149" s="3">
        <f>base_summer</f>
        <v>188.94784394250513</v>
      </c>
      <c r="C149" s="3">
        <f>base_summer_tou+(dehumid+freezer)*(24/13)</f>
        <v>260.7016900963513</v>
      </c>
      <c r="D149" s="3">
        <f>base_winter</f>
        <v>166.69784394250513</v>
      </c>
      <c r="E149" s="3">
        <f>base_winter_tou+freezer*(24/13)</f>
        <v>191.49015163481283</v>
      </c>
      <c r="F149" s="3">
        <f>base_spring_fall</f>
        <v>149.44784394250513</v>
      </c>
      <c r="G149" s="3">
        <f>base_spring_fall_tou+freezer*(24/13)</f>
        <v>174.24015163481283</v>
      </c>
      <c r="H149" s="4">
        <f>5000/24</f>
        <v>208.33333333333334</v>
      </c>
      <c r="I149" s="4">
        <f>5000/24</f>
        <v>208.33333333333334</v>
      </c>
    </row>
    <row r="150" spans="1:9" ht="12.75">
      <c r="A150">
        <v>5</v>
      </c>
      <c r="B150" s="3">
        <f>base_summer</f>
        <v>188.94784394250513</v>
      </c>
      <c r="C150" s="3">
        <f>base_summer_tou+(dehumid+freezer)*(24/13)</f>
        <v>260.7016900963513</v>
      </c>
      <c r="D150" s="3">
        <f>base_winter</f>
        <v>166.69784394250513</v>
      </c>
      <c r="E150" s="3">
        <f>base_winter_tou+freezer*(24/13)</f>
        <v>191.49015163481283</v>
      </c>
      <c r="F150" s="3">
        <f>base_spring_fall</f>
        <v>149.44784394250513</v>
      </c>
      <c r="G150" s="3">
        <f>base_spring_fall_tou+freezer*(24/13)</f>
        <v>174.24015163481283</v>
      </c>
      <c r="H150" s="4">
        <f>5000/24</f>
        <v>208.33333333333334</v>
      </c>
      <c r="I150" s="4">
        <f>5000/24</f>
        <v>208.33333333333334</v>
      </c>
    </row>
    <row r="151" spans="1:9" ht="12.75">
      <c r="A151">
        <v>6</v>
      </c>
      <c r="B151" s="3">
        <f>base_summer</f>
        <v>188.94784394250513</v>
      </c>
      <c r="C151" s="3">
        <f>base_summer_tou+(dehumid+freezer)*(24/13)</f>
        <v>260.7016900963513</v>
      </c>
      <c r="D151" s="3">
        <f>base_winter+furn_high</f>
        <v>566.6978439425052</v>
      </c>
      <c r="E151" s="3">
        <f>base_winter_tou+freezer*(24/13)+furn_high</f>
        <v>591.4901516348128</v>
      </c>
      <c r="F151" s="3">
        <f>base_spring_fall</f>
        <v>149.44784394250513</v>
      </c>
      <c r="G151" s="3">
        <f>base_spring_fall_tou+freezer*(24/13)</f>
        <v>174.24015163481283</v>
      </c>
      <c r="H151" s="4">
        <f>5000/24</f>
        <v>208.33333333333334</v>
      </c>
      <c r="I151" s="4">
        <f>5000/24</f>
        <v>208.33333333333334</v>
      </c>
    </row>
    <row r="152" spans="1:9" ht="12.75">
      <c r="A152">
        <v>7</v>
      </c>
      <c r="B152" s="3">
        <f>base_summer+fans+lamp*1</f>
        <v>483.94784394250513</v>
      </c>
      <c r="C152" s="3">
        <f>base_summer_tou+(dehumid+freezer)*(24/13)+fans+lamp*1</f>
        <v>555.7016900963513</v>
      </c>
      <c r="D152" s="3">
        <f>base_winter+furn_high+lamp*3</f>
        <v>641.6978439425052</v>
      </c>
      <c r="E152" s="3">
        <f>base_winter_tou+freezer*(24/13)+furn_high+lamp*3</f>
        <v>666.4901516348128</v>
      </c>
      <c r="F152" s="3">
        <f>base_spring_fall+fans+lamp*3</f>
        <v>494.44784394250513</v>
      </c>
      <c r="G152" s="3">
        <f>base_spring_fall_tou+freezer*(24/13)+fans+lamp*3</f>
        <v>519.2401516348128</v>
      </c>
      <c r="H152" s="4">
        <f>5000/24</f>
        <v>208.33333333333334</v>
      </c>
      <c r="I152" s="4">
        <f>5000/24</f>
        <v>208.33333333333334</v>
      </c>
    </row>
    <row r="153" spans="1:9" ht="12.75">
      <c r="A153">
        <v>8</v>
      </c>
      <c r="B153" s="3">
        <f>base_summer</f>
        <v>188.94784394250513</v>
      </c>
      <c r="C153" s="3">
        <f>base_summer_tou+(dehumid+freezer)*(24/13)</f>
        <v>260.7016900963513</v>
      </c>
      <c r="D153" s="3">
        <f>base_winter+furn_low+lamp*3</f>
        <v>274.94784394250513</v>
      </c>
      <c r="E153" s="3">
        <f>base_winter_tou+freezer*(24/13)+furn_low+lamp*3</f>
        <v>299.74015163481283</v>
      </c>
      <c r="F153" s="3">
        <f>base_spring_fall+lamp*3</f>
        <v>224.44784394250513</v>
      </c>
      <c r="G153" s="3">
        <f>base_spring_fall_tou+freezer*(24/13)+lamp*3</f>
        <v>249.24015163481283</v>
      </c>
      <c r="H153" s="4">
        <f>5000/24</f>
        <v>208.33333333333334</v>
      </c>
      <c r="I153" s="4">
        <f>5000/24</f>
        <v>208.33333333333334</v>
      </c>
    </row>
    <row r="154" spans="1:9" ht="12.75">
      <c r="A154">
        <v>9</v>
      </c>
      <c r="B154" s="3">
        <f>base_summer</f>
        <v>188.94784394250513</v>
      </c>
      <c r="C154" s="3">
        <f>base_summer_tou+(dehumid+freezer)*(24/13)</f>
        <v>260.7016900963513</v>
      </c>
      <c r="D154" s="3">
        <f>base_winter</f>
        <v>166.69784394250513</v>
      </c>
      <c r="E154" s="3">
        <f>base_winter_tou+freezer*(24/13)</f>
        <v>191.49015163481283</v>
      </c>
      <c r="F154" s="3">
        <f>base_spring_fall</f>
        <v>149.44784394250513</v>
      </c>
      <c r="G154" s="3">
        <f>base_spring_fall_tou+freezer*(24/13)</f>
        <v>174.24015163481283</v>
      </c>
      <c r="H154" s="4">
        <f>5000/24</f>
        <v>208.33333333333334</v>
      </c>
      <c r="I154" s="4">
        <f>5000/24</f>
        <v>208.33333333333334</v>
      </c>
    </row>
    <row r="155" spans="1:9" ht="12.75">
      <c r="A155">
        <v>10</v>
      </c>
      <c r="B155" s="3">
        <f>base_summer</f>
        <v>188.94784394250513</v>
      </c>
      <c r="C155" s="3">
        <f>base_summer_tou</f>
        <v>104.14784394250513</v>
      </c>
      <c r="D155" s="3">
        <f>base_winter</f>
        <v>166.69784394250513</v>
      </c>
      <c r="E155" s="3">
        <f>base_winter_tou</f>
        <v>137.39784394250512</v>
      </c>
      <c r="F155" s="3">
        <f>base_spring_fall</f>
        <v>149.44784394250513</v>
      </c>
      <c r="G155" s="3">
        <f>base_spring_fall_tou</f>
        <v>120.14784394250513</v>
      </c>
      <c r="H155" s="4">
        <f>5000/24</f>
        <v>208.33333333333334</v>
      </c>
      <c r="I155" s="4">
        <f>5000/24</f>
        <v>208.33333333333334</v>
      </c>
    </row>
    <row r="156" spans="1:9" ht="12.75">
      <c r="A156">
        <v>11</v>
      </c>
      <c r="B156" s="3">
        <f>base_summer</f>
        <v>188.94784394250513</v>
      </c>
      <c r="C156" s="3">
        <f>base_summer_tou</f>
        <v>104.14784394250513</v>
      </c>
      <c r="D156" s="3">
        <f>base_winter</f>
        <v>166.69784394250513</v>
      </c>
      <c r="E156" s="3">
        <f>base_winter_tou</f>
        <v>137.39784394250512</v>
      </c>
      <c r="F156" s="3">
        <f>base_spring_fall</f>
        <v>149.44784394250513</v>
      </c>
      <c r="G156" s="3">
        <f>base_spring_fall_tou</f>
        <v>120.14784394250513</v>
      </c>
      <c r="H156" s="4">
        <f>5000/24</f>
        <v>208.33333333333334</v>
      </c>
      <c r="I156" s="4">
        <f>5000/24</f>
        <v>208.33333333333334</v>
      </c>
    </row>
    <row r="157" spans="1:9" ht="12.75">
      <c r="A157">
        <v>12</v>
      </c>
      <c r="B157" s="3">
        <f>base_summer</f>
        <v>188.94784394250513</v>
      </c>
      <c r="C157" s="3">
        <f>base_summer_tou</f>
        <v>104.14784394250513</v>
      </c>
      <c r="D157" s="3">
        <f>base_winter</f>
        <v>166.69784394250513</v>
      </c>
      <c r="E157" s="3">
        <f>base_winter_tou</f>
        <v>137.39784394250512</v>
      </c>
      <c r="F157" s="3">
        <f>base_spring_fall</f>
        <v>149.44784394250513</v>
      </c>
      <c r="G157" s="3">
        <f>base_spring_fall_tou</f>
        <v>120.14784394250513</v>
      </c>
      <c r="H157" s="4">
        <f>5000/24</f>
        <v>208.33333333333334</v>
      </c>
      <c r="I157" s="4">
        <f>5000/24</f>
        <v>208.33333333333334</v>
      </c>
    </row>
    <row r="158" spans="1:9" ht="12.75">
      <c r="A158">
        <v>13</v>
      </c>
      <c r="B158" s="3">
        <f>base_summer</f>
        <v>188.94784394250513</v>
      </c>
      <c r="C158" s="3">
        <f>base_summer_tou</f>
        <v>104.14784394250513</v>
      </c>
      <c r="D158" s="3">
        <f>base_winter+furn_low</f>
        <v>199.94784394250513</v>
      </c>
      <c r="E158" s="3">
        <f>base_winter_tou+furn_low</f>
        <v>170.64784394250512</v>
      </c>
      <c r="F158" s="3">
        <f>base_spring_fall</f>
        <v>149.44784394250513</v>
      </c>
      <c r="G158" s="3">
        <f>base_spring_fall_tou</f>
        <v>120.14784394250513</v>
      </c>
      <c r="H158" s="4">
        <f>5000/24</f>
        <v>208.33333333333334</v>
      </c>
      <c r="I158" s="4">
        <f>5000/24</f>
        <v>208.33333333333334</v>
      </c>
    </row>
    <row r="159" spans="1:9" ht="12.75">
      <c r="A159">
        <v>14</v>
      </c>
      <c r="B159" s="3">
        <f>base_summer</f>
        <v>188.94784394250513</v>
      </c>
      <c r="C159" s="3">
        <f>base_summer_tou</f>
        <v>104.14784394250513</v>
      </c>
      <c r="D159" s="3">
        <f>base_winter+furn_low</f>
        <v>199.94784394250513</v>
      </c>
      <c r="E159" s="3">
        <f>base_winter_tou+furn_low</f>
        <v>170.64784394250512</v>
      </c>
      <c r="F159" s="3">
        <f>base_spring_fall</f>
        <v>149.44784394250513</v>
      </c>
      <c r="G159" s="3">
        <f>base_spring_fall_tou</f>
        <v>120.14784394250513</v>
      </c>
      <c r="H159" s="4">
        <f>5000/24</f>
        <v>208.33333333333334</v>
      </c>
      <c r="I159" s="4">
        <f>5000/24</f>
        <v>208.33333333333334</v>
      </c>
    </row>
    <row r="160" spans="1:9" ht="12.75">
      <c r="A160">
        <v>15</v>
      </c>
      <c r="B160" s="3">
        <f>base_summer</f>
        <v>188.94784394250513</v>
      </c>
      <c r="C160" s="3">
        <f>base_summer_tou</f>
        <v>104.14784394250513</v>
      </c>
      <c r="D160" s="3">
        <f>base_winter+furn_high</f>
        <v>566.6978439425052</v>
      </c>
      <c r="E160" s="3">
        <f>base_winter_tou+furn_high</f>
        <v>537.3978439425051</v>
      </c>
      <c r="F160" s="3">
        <f>base_spring_fall+lamp*3</f>
        <v>224.44784394250513</v>
      </c>
      <c r="G160" s="3">
        <f>base_spring_fall_tou+lamp*3</f>
        <v>195.14784394250512</v>
      </c>
      <c r="H160" s="4">
        <f>5000/24</f>
        <v>208.33333333333334</v>
      </c>
      <c r="I160" s="4">
        <f>5000/24</f>
        <v>208.33333333333334</v>
      </c>
    </row>
    <row r="161" spans="1:9" ht="12.75">
      <c r="A161">
        <v>16</v>
      </c>
      <c r="B161" s="3">
        <f>base_summer</f>
        <v>188.94784394250513</v>
      </c>
      <c r="C161" s="3">
        <f>base_summer_tou</f>
        <v>104.14784394250513</v>
      </c>
      <c r="D161" s="3">
        <f>base_winter+furn_high</f>
        <v>566.6978439425052</v>
      </c>
      <c r="E161" s="3">
        <f>base_winter_tou+furn_high</f>
        <v>537.3978439425051</v>
      </c>
      <c r="F161" s="3">
        <f>base_spring_fall</f>
        <v>149.44784394250513</v>
      </c>
      <c r="G161" s="3">
        <f>base_spring_fall_tou</f>
        <v>120.14784394250513</v>
      </c>
      <c r="H161" s="4">
        <f>5000/24</f>
        <v>208.33333333333334</v>
      </c>
      <c r="I161" s="4">
        <f>5000/24</f>
        <v>208.33333333333334</v>
      </c>
    </row>
    <row r="162" spans="1:9" ht="12.75">
      <c r="A162">
        <v>17</v>
      </c>
      <c r="B162" s="3">
        <f>base_summer</f>
        <v>188.94784394250513</v>
      </c>
      <c r="C162" s="3">
        <f>base_summer_tou</f>
        <v>104.14784394250513</v>
      </c>
      <c r="D162" s="3">
        <f>base_winter+furn_high/2</f>
        <v>366.69784394250513</v>
      </c>
      <c r="E162" s="3">
        <f>base_winter_tou+furn_high/2</f>
        <v>337.3978439425051</v>
      </c>
      <c r="F162" s="3">
        <f>base_spring_fall+lamp*1</f>
        <v>174.44784394250513</v>
      </c>
      <c r="G162" s="3">
        <f>base_spring_fall_tou+lamp*1</f>
        <v>145.14784394250512</v>
      </c>
      <c r="H162" s="4">
        <f>5000/24</f>
        <v>208.33333333333334</v>
      </c>
      <c r="I162" s="4">
        <f>5000/24</f>
        <v>208.33333333333334</v>
      </c>
    </row>
    <row r="163" spans="1:9" ht="12.75">
      <c r="A163">
        <v>18</v>
      </c>
      <c r="B163" s="3">
        <f>base_summer</f>
        <v>188.94784394250513</v>
      </c>
      <c r="C163" s="3">
        <f>base_summer_tou</f>
        <v>104.14784394250513</v>
      </c>
      <c r="D163" s="3">
        <f>base_winter+furn_high/3</f>
        <v>300.03117727583844</v>
      </c>
      <c r="E163" s="3">
        <f>base_winter_tou+furn_high/3</f>
        <v>270.7311772758385</v>
      </c>
      <c r="F163" s="3">
        <f>base_spring_fall+lamp*1</f>
        <v>174.44784394250513</v>
      </c>
      <c r="G163" s="3">
        <f>base_spring_fall_tou+lamp*1</f>
        <v>145.14784394250512</v>
      </c>
      <c r="H163" s="4">
        <f>5000/24</f>
        <v>208.33333333333334</v>
      </c>
      <c r="I163" s="4">
        <f>5000/24</f>
        <v>208.33333333333334</v>
      </c>
    </row>
    <row r="164" spans="1:9" ht="12.75">
      <c r="A164">
        <v>19</v>
      </c>
      <c r="B164" s="3">
        <f>base_summer+lamp*1</f>
        <v>213.94784394250513</v>
      </c>
      <c r="C164" s="3">
        <f>base_summer_tou+lamp*1</f>
        <v>129.14784394250512</v>
      </c>
      <c r="D164" s="3">
        <f>base_winter+furn_low+lamp*4</f>
        <v>299.94784394250513</v>
      </c>
      <c r="E164" s="3">
        <f>base_winter_tou+furn_low+lamp*4</f>
        <v>270.6478439425051</v>
      </c>
      <c r="F164" s="3">
        <f>base_spring_fall+lamp*4</f>
        <v>249.44784394250513</v>
      </c>
      <c r="G164" s="3">
        <f>base_spring_fall_tou+lamp*4</f>
        <v>220.14784394250512</v>
      </c>
      <c r="H164" s="4">
        <f>5000/24</f>
        <v>208.33333333333334</v>
      </c>
      <c r="I164" s="4">
        <f>5000/24</f>
        <v>208.33333333333334</v>
      </c>
    </row>
    <row r="165" spans="1:9" ht="12.75">
      <c r="A165">
        <v>20</v>
      </c>
      <c r="B165" s="3">
        <f>base_summer+lamp*1</f>
        <v>213.94784394250513</v>
      </c>
      <c r="C165" s="3">
        <f>base_summer_tou+lamp*1</f>
        <v>129.14784394250512</v>
      </c>
      <c r="D165" s="3">
        <f>base_winter+furn_low+lamp*4</f>
        <v>299.94784394250513</v>
      </c>
      <c r="E165" s="3">
        <f>base_winter_tou+furn_low+lamp*4</f>
        <v>270.6478439425051</v>
      </c>
      <c r="F165" s="3">
        <f>base_spring_fall+lamp*4</f>
        <v>249.44784394250513</v>
      </c>
      <c r="G165" s="3">
        <f>base_spring_fall_tou+lamp*4</f>
        <v>220.14784394250512</v>
      </c>
      <c r="H165" s="4">
        <f>5000/24</f>
        <v>208.33333333333334</v>
      </c>
      <c r="I165" s="4">
        <f>5000/24</f>
        <v>208.33333333333334</v>
      </c>
    </row>
    <row r="166" spans="1:9" ht="12.75">
      <c r="A166">
        <v>21</v>
      </c>
      <c r="B166" s="3">
        <f>base_summer+fans+lamp*1</f>
        <v>483.94784394250513</v>
      </c>
      <c r="C166" s="3">
        <f>base_summer_tou+(dehumid+freezer)*(24/13)+fans+lamp*1</f>
        <v>555.7016900963513</v>
      </c>
      <c r="D166" s="3">
        <f>base_winter+furn_low+lamp*4</f>
        <v>299.94784394250513</v>
      </c>
      <c r="E166" s="3">
        <f>base_winter_tou+freezer*(24/13)+furn_low+lamp*4</f>
        <v>324.74015163481283</v>
      </c>
      <c r="F166" s="3">
        <f>base_spring_fall+fans+lamp*4</f>
        <v>519.4478439425052</v>
      </c>
      <c r="G166" s="3">
        <f>base_spring_fall_tou+freezer*(24/13)+fans+lamp*4</f>
        <v>544.2401516348128</v>
      </c>
      <c r="H166" s="4">
        <f>5000/24</f>
        <v>208.33333333333334</v>
      </c>
      <c r="I166" s="4">
        <f>5000/24</f>
        <v>208.33333333333334</v>
      </c>
    </row>
    <row r="167" spans="1:9" ht="12.75">
      <c r="A167">
        <v>22</v>
      </c>
      <c r="B167" s="3">
        <f>base_summer+lamp*1</f>
        <v>213.94784394250513</v>
      </c>
      <c r="C167" s="3">
        <f>base_summer_tou+(dehumid+freezer)*(24/13)+lamp*1</f>
        <v>285.7016900963513</v>
      </c>
      <c r="D167" s="3">
        <f>base_winter+furn_low+lamp*4</f>
        <v>299.94784394250513</v>
      </c>
      <c r="E167" s="3">
        <f>base_winter_tou+freezer*(24/13)+furn_low+lamp*4</f>
        <v>324.74015163481283</v>
      </c>
      <c r="F167" s="3">
        <f>base_spring_fall+lamp*4</f>
        <v>249.44784394250513</v>
      </c>
      <c r="G167" s="3">
        <f>base_spring_fall_tou+freezer*(24/13)+lamp*4</f>
        <v>274.24015163481283</v>
      </c>
      <c r="H167" s="4">
        <f>5000/24</f>
        <v>208.33333333333334</v>
      </c>
      <c r="I167" s="4">
        <f>5000/24</f>
        <v>208.33333333333334</v>
      </c>
    </row>
    <row r="168" spans="1:9" ht="12.75">
      <c r="A168">
        <v>23</v>
      </c>
      <c r="B168" s="3">
        <f>base_summer-83</f>
        <v>105.94784394250513</v>
      </c>
      <c r="C168" s="3">
        <f>base_summer_tou+(dehumid+freezer)*(24/13)-83</f>
        <v>177.70169009635129</v>
      </c>
      <c r="D168" s="3">
        <f>base_winter+43</f>
        <v>209.69784394250513</v>
      </c>
      <c r="E168" s="3">
        <f>base_winter_tou+freezer*(24/13)+43</f>
        <v>234.49015163481283</v>
      </c>
      <c r="F168" s="3">
        <f>base_spring_fall+28</f>
        <v>177.44784394250513</v>
      </c>
      <c r="G168" s="3">
        <f>base_spring_fall_tou+freezer*(24/13)+28</f>
        <v>202.24015163481283</v>
      </c>
      <c r="H168" s="4">
        <f>5000/24</f>
        <v>208.33333333333334</v>
      </c>
      <c r="I168" s="4">
        <f>5000/24</f>
        <v>208.33333333333334</v>
      </c>
    </row>
    <row r="169" spans="1:9" ht="12.75">
      <c r="A169" t="s">
        <v>123</v>
      </c>
      <c r="B169" s="4">
        <f>SUM(B145:B168)</f>
        <v>5116.748254620122</v>
      </c>
      <c r="C169" s="4">
        <f>SUM(C145:C168)</f>
        <v>5116.748254620123</v>
      </c>
      <c r="D169" s="4">
        <f>SUM(D145:D168)</f>
        <v>6759.831587953455</v>
      </c>
      <c r="E169" s="4">
        <f>SUM(E145:E168)</f>
        <v>6759.831587953457</v>
      </c>
      <c r="F169" s="4">
        <f>SUM(F145:F168)</f>
        <v>4829.748254620123</v>
      </c>
      <c r="G169" s="4">
        <f>SUM(G145:G168)</f>
        <v>4829.748254620122</v>
      </c>
      <c r="H169" s="4">
        <f>SUM(H145:H168)</f>
        <v>5000</v>
      </c>
      <c r="I169" s="4">
        <f>SUM(I145:I168)</f>
        <v>5000</v>
      </c>
    </row>
    <row r="170" spans="1:9" ht="12.75">
      <c r="A170" t="s">
        <v>124</v>
      </c>
      <c r="B170" s="4">
        <f>SUM(B155:B165)</f>
        <v>2128.4262833675566</v>
      </c>
      <c r="C170" s="4">
        <f>SUM(C155:C165)</f>
        <v>1195.6262833675567</v>
      </c>
      <c r="D170" s="4">
        <f>SUM(D155:D165)</f>
        <v>3300.00961670089</v>
      </c>
      <c r="E170" s="4">
        <f>SUM(E155:E165)</f>
        <v>2977.709616700889</v>
      </c>
      <c r="F170" s="4">
        <f>SUM(F155:F165)</f>
        <v>1968.9262833675568</v>
      </c>
      <c r="G170" s="4">
        <f>SUM(G155:G165)</f>
        <v>1646.6262833675562</v>
      </c>
      <c r="H170" s="4">
        <f>SUM(H155:H165)</f>
        <v>2291.6666666666665</v>
      </c>
      <c r="I170" s="4">
        <f>SUM(I155:I165)</f>
        <v>2291.6666666666665</v>
      </c>
    </row>
    <row r="171" spans="1:9" ht="12.75">
      <c r="A171" t="s">
        <v>125</v>
      </c>
      <c r="B171" s="4">
        <f>SUM(B145:B154)+SUM(B166:B168)</f>
        <v>2988.321971252567</v>
      </c>
      <c r="C171" s="4">
        <f>SUM(C145:C154)+SUM(C166:C168)</f>
        <v>3921.1219712525667</v>
      </c>
      <c r="D171" s="4">
        <f>SUM(D145:D154)+SUM(D166:D168)</f>
        <v>3459.821971252567</v>
      </c>
      <c r="E171" s="4">
        <f>SUM(E145:E154)+SUM(E166:E168)</f>
        <v>3782.1219712525667</v>
      </c>
      <c r="F171" s="4">
        <f>SUM(F145:F154)+SUM(F166:F168)</f>
        <v>2860.821971252567</v>
      </c>
      <c r="G171" s="4">
        <f>SUM(G145:G154)+SUM(G166:G168)</f>
        <v>3183.1219712525667</v>
      </c>
      <c r="H171" s="4">
        <f>SUM(H145:H154)+SUM(H166:H168)</f>
        <v>2708.333333333333</v>
      </c>
      <c r="I171" s="4">
        <f>SUM(I145:I154)+SUM(I166:I168)</f>
        <v>2708.333333333333</v>
      </c>
    </row>
    <row r="172" spans="1:9" ht="12.75">
      <c r="A172" t="s">
        <v>123</v>
      </c>
      <c r="B172" s="4">
        <f>SUM(B170:B171)</f>
        <v>5116.748254620124</v>
      </c>
      <c r="C172" s="4">
        <f>SUM(C170:C171)</f>
        <v>5116.748254620124</v>
      </c>
      <c r="D172" s="4">
        <f>SUM(D170:D171)</f>
        <v>6759.831587953457</v>
      </c>
      <c r="E172" s="4">
        <f>SUM(E170:E171)</f>
        <v>6759.831587953456</v>
      </c>
      <c r="F172" s="4">
        <f>SUM(F170:F171)</f>
        <v>4829.748254620124</v>
      </c>
      <c r="G172" s="4">
        <f>SUM(G170:G171)</f>
        <v>4829.748254620123</v>
      </c>
      <c r="H172" s="4">
        <f>SUM(H170:H171)</f>
        <v>5000</v>
      </c>
      <c r="I172" s="4">
        <f>SUM(I170:I171)</f>
        <v>5000</v>
      </c>
    </row>
    <row r="173" spans="1:10" ht="12.75">
      <c r="A173" t="s">
        <v>126</v>
      </c>
      <c r="B173" s="4">
        <f>B172*(4/12)*365.25/1000</f>
        <v>622.9641</v>
      </c>
      <c r="C173" s="4">
        <f>C172*(4/12)*365.25/1000</f>
        <v>622.9641</v>
      </c>
      <c r="D173" s="4">
        <f>D172*(4/12)*365.25/1000</f>
        <v>823.0094958333332</v>
      </c>
      <c r="E173" s="4">
        <f>E172*(4/12)*365.25/1000</f>
        <v>823.0094958333331</v>
      </c>
      <c r="F173" s="4">
        <f>F172*(4/12)*365.25/1000</f>
        <v>588.0218500000001</v>
      </c>
      <c r="G173" s="4">
        <f>G172*(4/12)*365.25/1000</f>
        <v>588.0218499999999</v>
      </c>
      <c r="H173" s="4">
        <f>H172*(4/12)*365.25/1000</f>
        <v>608.75</v>
      </c>
      <c r="I173" s="4">
        <f>I172*(4/12)*365.25/1000</f>
        <v>608.75</v>
      </c>
      <c r="J173" t="s">
        <v>127</v>
      </c>
    </row>
    <row r="174" spans="1:10" ht="12.75">
      <c r="A174" t="s">
        <v>127</v>
      </c>
      <c r="B174" s="10">
        <f>B170/B169</f>
        <v>0.41597244528216004</v>
      </c>
      <c r="C174" s="10">
        <f>C170/C169</f>
        <v>0.23366916327923237</v>
      </c>
      <c r="D174" s="10">
        <f>D170/D169</f>
        <v>0.4881792650843201</v>
      </c>
      <c r="E174" s="10">
        <f>E170/E169</f>
        <v>0.44050056247072755</v>
      </c>
      <c r="F174" s="10">
        <f>F170/F169</f>
        <v>0.40766644130656043</v>
      </c>
      <c r="G174" s="10">
        <f>G170/G169</f>
        <v>0.3409341846735798</v>
      </c>
      <c r="H174" s="10">
        <f>H170/H169</f>
        <v>0.4583333333333333</v>
      </c>
      <c r="I174" s="10">
        <f>I170/I169</f>
        <v>0.4583333333333333</v>
      </c>
      <c r="J174" s="4">
        <f>(C170+E170+G170)/(C169+E169+G169)</f>
        <v>0.34836872289211346</v>
      </c>
    </row>
    <row r="175" spans="1:9" ht="12.75">
      <c r="A175" t="s">
        <v>128</v>
      </c>
      <c r="B175" s="4">
        <f>($B$12+$E$12+$F$12)*B170/100000</f>
        <v>0.290359913577002</v>
      </c>
      <c r="C175" s="4">
        <f>($B16+$E16+$F16)*C170/100000</f>
        <v>0.22014565918353587</v>
      </c>
      <c r="D175" s="4">
        <f>($C$12+$E$12+$F$12)*D170/100000</f>
        <v>0.4171872157433265</v>
      </c>
      <c r="E175" s="4">
        <f>($C16+$E16+$F16)*E170/100000</f>
        <v>0.4991721730915681</v>
      </c>
      <c r="F175" s="4">
        <f>($C$12+$E$12+$F$12)*F170/100000</f>
        <v>0.24891166074332655</v>
      </c>
      <c r="G175" s="4">
        <f>($C16+$E16+$F16)*G170/100000</f>
        <v>0.27603431023907</v>
      </c>
      <c r="H175" s="4">
        <f>($B$12+$E$12+$F$12)*H170/100000</f>
        <v>0.3126291666666666</v>
      </c>
      <c r="I175" s="4">
        <f>($B16+$E16+$F16)*I170/100000</f>
        <v>0.42195498374401097</v>
      </c>
    </row>
    <row r="176" spans="1:13" ht="12.75">
      <c r="A176" t="s">
        <v>129</v>
      </c>
      <c r="B176" s="4">
        <f>($B$12+$E$12+$F$12)*B171/100000</f>
        <v>0.40766688331827516</v>
      </c>
      <c r="C176" s="4">
        <f>($B17+$E17+$F17)*C171/100000</f>
        <v>0.2745177492073922</v>
      </c>
      <c r="D176" s="4">
        <f>($C$12+$E$12+$F$12)*D171/100000</f>
        <v>0.43739069360574945</v>
      </c>
      <c r="E176" s="4">
        <f>($C17+$E17+$F17)*E171/100000</f>
        <v>0.2647863592073922</v>
      </c>
      <c r="F176" s="4">
        <f>($C$12+$E$12+$F$12)*F171/100000</f>
        <v>0.3616651136057495</v>
      </c>
      <c r="G176" s="4">
        <f>($C17+$E17+$F17)*G171/100000</f>
        <v>0.22285036920739218</v>
      </c>
      <c r="H176" s="4">
        <f>($B$12+$E$12+$F$12)*H171/100000</f>
        <v>0.3694708333333333</v>
      </c>
      <c r="I176" s="4">
        <f>($B17+$E17+$F17)*I171/100000</f>
        <v>0.18961041666666664</v>
      </c>
      <c r="K176" t="s">
        <v>130</v>
      </c>
      <c r="L176" t="s">
        <v>131</v>
      </c>
      <c r="M176" t="s">
        <v>132</v>
      </c>
    </row>
    <row r="177" spans="1:13" ht="12.75">
      <c r="A177" t="s">
        <v>133</v>
      </c>
      <c r="B177" s="4">
        <f>(B175+B176)*(4/12)*365.25</f>
        <v>84.984762522</v>
      </c>
      <c r="C177" s="4">
        <f>(C175+C176)*(4/12)*365.25</f>
        <v>60.22526997159549</v>
      </c>
      <c r="D177" s="4">
        <f>(D175+D176)*(4/12)*365.25</f>
        <v>104.04486046325</v>
      </c>
      <c r="E177" s="4">
        <f>(E175+E176)*(4/12)*365.25</f>
        <v>93.0119513073984</v>
      </c>
      <c r="F177" s="4">
        <f>(F175+F176)*(4/12)*365.25</f>
        <v>74.337722277</v>
      </c>
      <c r="G177" s="4">
        <f>(G175+G176)*(4/12)*365.25</f>
        <v>60.73920972260677</v>
      </c>
      <c r="H177" s="4">
        <f>(H175+H176)*(4/12)*365.25</f>
        <v>83.04567499999999</v>
      </c>
      <c r="I177" s="4">
        <f>(I175+I176)*(4/12)*365.25</f>
        <v>74.4580875</v>
      </c>
      <c r="J177" t="s">
        <v>134</v>
      </c>
      <c r="K177" s="4">
        <f>B177+D177+F177*2</f>
        <v>337.70506753924997</v>
      </c>
      <c r="L177" s="4">
        <f>C177+E177+G177*2</f>
        <v>274.71564072420745</v>
      </c>
      <c r="M177" s="4">
        <f>K177-L177</f>
        <v>62.98942681504252</v>
      </c>
    </row>
    <row r="178" spans="1:13" ht="12.75">
      <c r="A178" t="s">
        <v>132</v>
      </c>
      <c r="C178" s="4">
        <f>B177-C177</f>
        <v>24.75949255040451</v>
      </c>
      <c r="E178" s="4">
        <f>D177-E177</f>
        <v>11.032909155851598</v>
      </c>
      <c r="G178" s="4">
        <f>F177-G177</f>
        <v>13.598512554393224</v>
      </c>
      <c r="I178" s="4">
        <f>H177-I177</f>
        <v>8.587587499999984</v>
      </c>
      <c r="M178" s="4">
        <f>C178+E178+G178*2</f>
        <v>62.989426815042556</v>
      </c>
    </row>
    <row r="179" spans="3:9" ht="12.75">
      <c r="C179" t="s">
        <v>135</v>
      </c>
      <c r="E179" t="s">
        <v>136</v>
      </c>
      <c r="G179" t="s">
        <v>137</v>
      </c>
      <c r="I179" t="s">
        <v>138</v>
      </c>
    </row>
    <row r="181" ht="12.75">
      <c r="A181" s="1"/>
    </row>
    <row r="182" ht="12.75">
      <c r="A182" s="1" t="s">
        <v>139</v>
      </c>
    </row>
    <row r="183" ht="12.75">
      <c r="A183" t="s">
        <v>140</v>
      </c>
    </row>
  </sheetData>
  <hyperlinks>
    <hyperlink ref="A3" r:id="rId1" display="http://www.geocities.com/bay_creek.pv.html"/>
  </hyperlinks>
  <printOptions/>
  <pageMargins left="0.7875" right="0.7875" top="1.025" bottom="1.025" header="0.7875" footer="0.7875"/>
  <pageSetup firstPageNumber="1" useFirstPageNumber="1" horizontalDpi="300" verticalDpi="300" orientation="portrait"/>
  <headerFooter alignWithMargins="0">
    <oddHeader>&amp;C&amp;A</oddHeader>
    <oddFooter>&amp;CPage &amp;P</oddFooter>
  </headerFooter>
  <drawing r:id="rId4"/>
  <legacy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6842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1601-01-01T05:00:00Z</cp:lastPrinted>
  <dcterms:created xsi:type="dcterms:W3CDTF">2006-08-12T13:44:40Z</dcterms:created>
  <dcterms:modified xsi:type="dcterms:W3CDTF">2007-08-04T21:54:11Z</dcterms:modified>
  <cp:category/>
  <cp:version/>
  <cp:contentType/>
  <cp:contentStatus/>
  <cp:revision>393</cp:revision>
</cp:coreProperties>
</file>